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gão\Desktop\PREGÃO 2022\PREGÃO 013-2022-PRESENCIAL- COLETA AUTOMATIZADA RESÍDUOS\"/>
    </mc:Choice>
  </mc:AlternateContent>
  <bookViews>
    <workbookView xWindow="0" yWindow="0" windowWidth="28800" windowHeight="13320" tabRatio="802"/>
  </bookViews>
  <sheets>
    <sheet name="Coleta" sheetId="12" r:id="rId1"/>
    <sheet name="Lavagem unif." sheetId="11" r:id="rId2"/>
    <sheet name="Feriados" sheetId="10" r:id="rId3"/>
    <sheet name="2.Encargos Sociais" sheetId="8" r:id="rId4"/>
    <sheet name="4.BDI" sheetId="4" r:id="rId5"/>
    <sheet name="5. Depreciação" sheetId="6" r:id="rId6"/>
    <sheet name="6.Remuneração de capital" sheetId="7" r:id="rId7"/>
  </sheets>
  <definedNames>
    <definedName name="AbaDeprec">'5. Depreciação'!$A$1</definedName>
    <definedName name="AbaRemun">'6.Remuneração de capital'!$A$1</definedName>
    <definedName name="_xlnm.Print_Area" localSheetId="3">'2.Encargos Sociais'!$A$1:$C$33</definedName>
    <definedName name="_xlnm.Print_Area" localSheetId="0">Coleta!$A$1:$F$393</definedName>
    <definedName name="número">#REF!</definedName>
    <definedName name="_xlnm.Print_Titles" localSheetId="0">Coleta!$2:$2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1" i="12" l="1"/>
  <c r="D252" i="12"/>
  <c r="D247" i="12"/>
  <c r="D178" i="12"/>
  <c r="D173" i="12"/>
  <c r="D65" i="12" l="1"/>
  <c r="E65" i="12" s="1"/>
  <c r="E66" i="12" s="1"/>
  <c r="D63" i="12"/>
  <c r="E63" i="12" s="1"/>
  <c r="E61" i="12"/>
  <c r="E59" i="12"/>
  <c r="D62" i="12"/>
  <c r="E15" i="12"/>
  <c r="E12" i="12"/>
  <c r="E10" i="12"/>
  <c r="E70" i="12"/>
  <c r="D61" i="12"/>
  <c r="D59" i="12"/>
  <c r="A9" i="12"/>
  <c r="A50" i="12" l="1"/>
  <c r="E44" i="12"/>
  <c r="E377" i="12" l="1"/>
  <c r="E369" i="12"/>
  <c r="C250" i="12"/>
  <c r="B211" i="12"/>
  <c r="D42" i="12"/>
  <c r="C106" i="12"/>
  <c r="C105" i="12"/>
  <c r="C113" i="12"/>
  <c r="C126" i="12"/>
  <c r="C131" i="12" s="1"/>
  <c r="C125" i="12"/>
  <c r="E100" i="12"/>
  <c r="E85" i="12"/>
  <c r="D44" i="12"/>
  <c r="A44" i="12"/>
  <c r="A43" i="12"/>
  <c r="C111" i="12" l="1"/>
  <c r="D45" i="12"/>
  <c r="D375" i="12"/>
  <c r="D373" i="12"/>
  <c r="C375" i="12"/>
  <c r="E365" i="12"/>
  <c r="D366" i="12" s="1"/>
  <c r="E366" i="12" s="1"/>
  <c r="C357" i="12"/>
  <c r="E357" i="12" s="1"/>
  <c r="C356" i="12"/>
  <c r="E356" i="12" s="1"/>
  <c r="C355" i="12"/>
  <c r="E355" i="12" s="1"/>
  <c r="C354" i="12"/>
  <c r="E354" i="12" s="1"/>
  <c r="C353" i="12"/>
  <c r="E353" i="12" s="1"/>
  <c r="C352" i="12"/>
  <c r="E352" i="12" s="1"/>
  <c r="C338" i="12"/>
  <c r="C343" i="12" s="1"/>
  <c r="E343" i="12" s="1"/>
  <c r="F344" i="12" s="1"/>
  <c r="D332" i="12"/>
  <c r="E332" i="12" s="1"/>
  <c r="C325" i="12"/>
  <c r="C324" i="12"/>
  <c r="E321" i="12"/>
  <c r="C315" i="12"/>
  <c r="C313" i="12"/>
  <c r="E313" i="12" s="1"/>
  <c r="E311" i="12"/>
  <c r="E306" i="12"/>
  <c r="D299" i="12"/>
  <c r="D297" i="12"/>
  <c r="D295" i="12"/>
  <c r="D293" i="12"/>
  <c r="D291" i="12"/>
  <c r="D289" i="12"/>
  <c r="C289" i="12"/>
  <c r="C299" i="12" s="1"/>
  <c r="C280" i="12"/>
  <c r="E280" i="12" s="1"/>
  <c r="C279" i="12"/>
  <c r="E279" i="12" s="1"/>
  <c r="C278" i="12"/>
  <c r="C274" i="12"/>
  <c r="C269" i="12"/>
  <c r="D268" i="12"/>
  <c r="D263" i="12"/>
  <c r="E263" i="12" s="1"/>
  <c r="E259" i="12"/>
  <c r="E275" i="12" s="1"/>
  <c r="E282" i="12" s="1"/>
  <c r="C256" i="12"/>
  <c r="C255" i="12"/>
  <c r="C252" i="12"/>
  <c r="E252" i="12" s="1"/>
  <c r="D255" i="12" s="1"/>
  <c r="C251" i="12"/>
  <c r="E247" i="12"/>
  <c r="C241" i="12"/>
  <c r="C239" i="12"/>
  <c r="E239" i="12" s="1"/>
  <c r="E237" i="12"/>
  <c r="E232" i="12"/>
  <c r="D225" i="12"/>
  <c r="D223" i="12"/>
  <c r="D221" i="12"/>
  <c r="D219" i="12"/>
  <c r="D217" i="12"/>
  <c r="D215" i="12"/>
  <c r="C215" i="12"/>
  <c r="C225" i="12" s="1"/>
  <c r="C206" i="12"/>
  <c r="E206" i="12" s="1"/>
  <c r="C205" i="12"/>
  <c r="E205" i="12" s="1"/>
  <c r="C204" i="12"/>
  <c r="C200" i="12"/>
  <c r="C195" i="12"/>
  <c r="D194" i="12"/>
  <c r="D189" i="12"/>
  <c r="E189" i="12" s="1"/>
  <c r="E185" i="12"/>
  <c r="E201" i="12" s="1"/>
  <c r="E208" i="12" s="1"/>
  <c r="C182" i="12"/>
  <c r="C181" i="12"/>
  <c r="C178" i="12"/>
  <c r="C177" i="12"/>
  <c r="E173" i="12"/>
  <c r="D176" i="12" s="1"/>
  <c r="C164" i="12"/>
  <c r="E163" i="12"/>
  <c r="D162" i="12"/>
  <c r="C162" i="12"/>
  <c r="D161" i="12"/>
  <c r="C161" i="12"/>
  <c r="D160" i="12"/>
  <c r="C160" i="12"/>
  <c r="D159" i="12"/>
  <c r="C159" i="12"/>
  <c r="D158" i="12"/>
  <c r="C158" i="12"/>
  <c r="D157" i="12"/>
  <c r="C157" i="12"/>
  <c r="D156" i="12"/>
  <c r="C156" i="12"/>
  <c r="C151" i="12"/>
  <c r="E150" i="12"/>
  <c r="C149" i="12"/>
  <c r="E149" i="12" s="1"/>
  <c r="C148" i="12"/>
  <c r="E148" i="12" s="1"/>
  <c r="C147" i="12"/>
  <c r="E147" i="12" s="1"/>
  <c r="C146" i="12"/>
  <c r="E146" i="12" s="1"/>
  <c r="C145" i="12"/>
  <c r="E145" i="12" s="1"/>
  <c r="C144" i="12"/>
  <c r="E144" i="12" s="1"/>
  <c r="C143" i="12"/>
  <c r="E143" i="12" s="1"/>
  <c r="C142" i="12"/>
  <c r="E142" i="12" s="1"/>
  <c r="C141" i="12"/>
  <c r="E141" i="12" s="1"/>
  <c r="C140" i="12"/>
  <c r="E140" i="12" s="1"/>
  <c r="E131" i="12"/>
  <c r="F132" i="12" s="1"/>
  <c r="A126" i="12"/>
  <c r="A125" i="12"/>
  <c r="D120" i="12"/>
  <c r="A120" i="12"/>
  <c r="C119" i="12"/>
  <c r="E119" i="12" s="1"/>
  <c r="D114" i="12"/>
  <c r="E113" i="12"/>
  <c r="D112" i="12"/>
  <c r="E111" i="12"/>
  <c r="D106" i="12"/>
  <c r="D105" i="12"/>
  <c r="C84" i="12"/>
  <c r="D74" i="12"/>
  <c r="E152" i="12"/>
  <c r="B151" i="12"/>
  <c r="B164" i="12" s="1"/>
  <c r="D75" i="12"/>
  <c r="D90" i="12" s="1"/>
  <c r="E49" i="12"/>
  <c r="A49" i="12"/>
  <c r="E48" i="12"/>
  <c r="A48" i="12"/>
  <c r="A42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8" i="12"/>
  <c r="A7" i="12"/>
  <c r="A6" i="12"/>
  <c r="C13" i="4"/>
  <c r="C387" i="12" s="1"/>
  <c r="F6" i="4"/>
  <c r="E6" i="4"/>
  <c r="D6" i="4"/>
  <c r="E14" i="12" l="1"/>
  <c r="D76" i="12"/>
  <c r="E76" i="12" s="1"/>
  <c r="D89" i="12"/>
  <c r="E225" i="12"/>
  <c r="E156" i="12"/>
  <c r="E114" i="12"/>
  <c r="E299" i="12"/>
  <c r="C268" i="12"/>
  <c r="E268" i="12" s="1"/>
  <c r="C295" i="12"/>
  <c r="E295" i="12" s="1"/>
  <c r="E105" i="12"/>
  <c r="E120" i="12"/>
  <c r="F121" i="12" s="1"/>
  <c r="C291" i="12"/>
  <c r="E291" i="12" s="1"/>
  <c r="E34" i="12"/>
  <c r="E74" i="12"/>
  <c r="E125" i="12"/>
  <c r="E157" i="12"/>
  <c r="E159" i="12"/>
  <c r="E161" i="12"/>
  <c r="E112" i="12"/>
  <c r="E158" i="12"/>
  <c r="E162" i="12"/>
  <c r="C191" i="12"/>
  <c r="C217" i="12"/>
  <c r="E217" i="12" s="1"/>
  <c r="C367" i="12"/>
  <c r="E367" i="12" s="1"/>
  <c r="D368" i="12" s="1"/>
  <c r="E368" i="12" s="1"/>
  <c r="F369" i="12" s="1"/>
  <c r="D226" i="12"/>
  <c r="D240" i="12"/>
  <c r="E240" i="12" s="1"/>
  <c r="D241" i="12" s="1"/>
  <c r="E241" i="12" s="1"/>
  <c r="F242" i="12" s="1"/>
  <c r="C334" i="12"/>
  <c r="D126" i="12"/>
  <c r="E126" i="12" s="1"/>
  <c r="E375" i="12"/>
  <c r="D376" i="12" s="1"/>
  <c r="E376" i="12" s="1"/>
  <c r="D324" i="12"/>
  <c r="E324" i="12" s="1"/>
  <c r="D325" i="12" s="1"/>
  <c r="E325" i="12" s="1"/>
  <c r="E326" i="12" s="1"/>
  <c r="D327" i="12" s="1"/>
  <c r="E327" i="12" s="1"/>
  <c r="F328" i="12" s="1"/>
  <c r="E255" i="12"/>
  <c r="D256" i="12" s="1"/>
  <c r="E256" i="12" s="1"/>
  <c r="D204" i="12"/>
  <c r="E204" i="12" s="1"/>
  <c r="D207" i="12" s="1"/>
  <c r="E207" i="12" s="1"/>
  <c r="F208" i="12" s="1"/>
  <c r="D151" i="12"/>
  <c r="E151" i="12" s="1"/>
  <c r="F152" i="12" s="1"/>
  <c r="E178" i="12"/>
  <c r="C194" i="12"/>
  <c r="E194" i="12" s="1"/>
  <c r="C270" i="12"/>
  <c r="E373" i="12"/>
  <c r="D374" i="12" s="1"/>
  <c r="E374" i="12" s="1"/>
  <c r="D278" i="12"/>
  <c r="E278" i="12" s="1"/>
  <c r="D281" i="12" s="1"/>
  <c r="E281" i="12" s="1"/>
  <c r="F282" i="12" s="1"/>
  <c r="D250" i="12"/>
  <c r="E250" i="12" s="1"/>
  <c r="D251" i="12" s="1"/>
  <c r="E251" i="12" s="1"/>
  <c r="D314" i="12"/>
  <c r="E314" i="12" s="1"/>
  <c r="D315" i="12" s="1"/>
  <c r="E315" i="12" s="1"/>
  <c r="F316" i="12" s="1"/>
  <c r="E176" i="12"/>
  <c r="D177" i="12" s="1"/>
  <c r="E177" i="12" s="1"/>
  <c r="C231" i="12"/>
  <c r="E231" i="12" s="1"/>
  <c r="F233" i="12" s="1"/>
  <c r="E22" i="12" s="1"/>
  <c r="C221" i="12"/>
  <c r="E221" i="12" s="1"/>
  <c r="C223" i="12"/>
  <c r="E223" i="12" s="1"/>
  <c r="E215" i="12"/>
  <c r="C219" i="12"/>
  <c r="E219" i="12" s="1"/>
  <c r="C265" i="12"/>
  <c r="C293" i="12"/>
  <c r="E293" i="12" s="1"/>
  <c r="E289" i="12"/>
  <c r="C305" i="12"/>
  <c r="E305" i="12" s="1"/>
  <c r="F307" i="12" s="1"/>
  <c r="E29" i="12" s="1"/>
  <c r="F358" i="12"/>
  <c r="F360" i="12" s="1"/>
  <c r="E35" i="12" s="1"/>
  <c r="E160" i="12"/>
  <c r="E62" i="12"/>
  <c r="D77" i="12"/>
  <c r="E77" i="12" s="1"/>
  <c r="D78" i="12" s="1"/>
  <c r="E78" i="12" s="1"/>
  <c r="C297" i="12"/>
  <c r="E297" i="12" s="1"/>
  <c r="E106" i="12"/>
  <c r="D300" i="12"/>
  <c r="D91" i="12" l="1"/>
  <c r="E91" i="12" s="1"/>
  <c r="E89" i="12"/>
  <c r="D92" i="12"/>
  <c r="E92" i="12" s="1"/>
  <c r="D93" i="12" s="1"/>
  <c r="E93" i="12" s="1"/>
  <c r="C271" i="12"/>
  <c r="D272" i="12" s="1"/>
  <c r="E272" i="12" s="1"/>
  <c r="E257" i="12"/>
  <c r="D258" i="12" s="1"/>
  <c r="E258" i="12" s="1"/>
  <c r="F259" i="12" s="1"/>
  <c r="C335" i="12"/>
  <c r="D336" i="12" s="1"/>
  <c r="E336" i="12" s="1"/>
  <c r="E337" i="12" s="1"/>
  <c r="D338" i="12" s="1"/>
  <c r="E338" i="12" s="1"/>
  <c r="F339" i="12" s="1"/>
  <c r="E33" i="12" s="1"/>
  <c r="F127" i="12"/>
  <c r="F107" i="12"/>
  <c r="D164" i="12"/>
  <c r="E164" i="12" s="1"/>
  <c r="F165" i="12" s="1"/>
  <c r="F167" i="12" s="1"/>
  <c r="F377" i="12"/>
  <c r="F379" i="12" s="1"/>
  <c r="E36" i="12" s="1"/>
  <c r="E23" i="12"/>
  <c r="F301" i="12"/>
  <c r="E28" i="12" s="1"/>
  <c r="F115" i="12"/>
  <c r="E11" i="12" s="1"/>
  <c r="E32" i="12"/>
  <c r="C266" i="12"/>
  <c r="D267" i="12" s="1"/>
  <c r="E267" i="12" s="1"/>
  <c r="E20" i="12"/>
  <c r="E30" i="12"/>
  <c r="E27" i="12"/>
  <c r="F227" i="12"/>
  <c r="D80" i="12"/>
  <c r="E80" i="12" s="1"/>
  <c r="E81" i="12" s="1"/>
  <c r="D181" i="12"/>
  <c r="E181" i="12" s="1"/>
  <c r="D182" i="12" s="1"/>
  <c r="E182" i="12" s="1"/>
  <c r="E183" i="12" s="1"/>
  <c r="D184" i="12" s="1"/>
  <c r="E184" i="12" s="1"/>
  <c r="F185" i="12" s="1"/>
  <c r="C196" i="12"/>
  <c r="C192" i="12"/>
  <c r="D193" i="12" s="1"/>
  <c r="E193" i="12" s="1"/>
  <c r="E13" i="12" l="1"/>
  <c r="D95" i="12"/>
  <c r="E95" i="12" s="1"/>
  <c r="E96" i="12" s="1"/>
  <c r="D97" i="12" s="1"/>
  <c r="E97" i="12" s="1"/>
  <c r="E98" i="12" s="1"/>
  <c r="D99" i="12" s="1"/>
  <c r="E99" i="12" s="1"/>
  <c r="F100" i="12" s="1"/>
  <c r="E9" i="12" s="1"/>
  <c r="E273" i="12"/>
  <c r="D274" i="12" s="1"/>
  <c r="E274" i="12" s="1"/>
  <c r="F275" i="12" s="1"/>
  <c r="E31" i="12"/>
  <c r="C197" i="12"/>
  <c r="D198" i="12" s="1"/>
  <c r="E198" i="12" s="1"/>
  <c r="E199" i="12" s="1"/>
  <c r="D200" i="12" s="1"/>
  <c r="E200" i="12" s="1"/>
  <c r="F201" i="12" s="1"/>
  <c r="E25" i="12"/>
  <c r="D82" i="12"/>
  <c r="E82" i="12" s="1"/>
  <c r="E83" i="12" s="1"/>
  <c r="D84" i="12" s="1"/>
  <c r="E84" i="12" s="1"/>
  <c r="F85" i="12" s="1"/>
  <c r="E8" i="12" s="1"/>
  <c r="E21" i="12"/>
  <c r="D67" i="12"/>
  <c r="E67" i="12" s="1"/>
  <c r="E68" i="12" s="1"/>
  <c r="D69" i="12" l="1"/>
  <c r="E69" i="12" s="1"/>
  <c r="F70" i="12" s="1"/>
  <c r="F346" i="12"/>
  <c r="E16" i="12" s="1"/>
  <c r="E26" i="12"/>
  <c r="E24" i="12" s="1"/>
  <c r="E19" i="12"/>
  <c r="E18" i="12"/>
  <c r="E17" i="12" l="1"/>
  <c r="I134" i="12" l="1"/>
  <c r="F134" i="12"/>
  <c r="F382" i="12" s="1"/>
  <c r="D387" i="12" s="1"/>
  <c r="E387" i="12" s="1"/>
  <c r="F388" i="12" s="1"/>
  <c r="F390" i="12" s="1"/>
  <c r="E37" i="12" s="1"/>
  <c r="E7" i="12"/>
  <c r="E6" i="12" s="1"/>
  <c r="E38" i="12" l="1"/>
  <c r="F9" i="12" s="1"/>
  <c r="F392" i="12"/>
  <c r="F37" i="12" l="1"/>
  <c r="F34" i="12"/>
  <c r="F14" i="12"/>
  <c r="F20" i="12"/>
  <c r="F13" i="12"/>
  <c r="F23" i="12"/>
  <c r="F12" i="12"/>
  <c r="F32" i="12"/>
  <c r="F10" i="12"/>
  <c r="F29" i="12"/>
  <c r="F28" i="12"/>
  <c r="F27" i="12"/>
  <c r="F35" i="12"/>
  <c r="F31" i="12"/>
  <c r="F26" i="12"/>
  <c r="F22" i="12"/>
  <c r="F30" i="12"/>
  <c r="F33" i="12"/>
  <c r="F36" i="12"/>
  <c r="F11" i="12"/>
  <c r="F25" i="12"/>
  <c r="F21" i="12"/>
  <c r="F15" i="12"/>
  <c r="F19" i="12"/>
  <c r="F18" i="12"/>
  <c r="F8" i="12"/>
  <c r="F24" i="12"/>
  <c r="F17" i="12"/>
  <c r="F7" i="12"/>
  <c r="F16" i="12" l="1"/>
  <c r="F6" i="12"/>
  <c r="F38" i="12" s="1"/>
  <c r="C29" i="8"/>
  <c r="C23" i="8"/>
  <c r="C26" i="8" s="1"/>
  <c r="C19" i="8"/>
  <c r="C11" i="8"/>
  <c r="C28" i="8" l="1"/>
  <c r="C30" i="8" s="1"/>
  <c r="C31" i="8" s="1"/>
  <c r="F15" i="11" l="1"/>
  <c r="C15" i="11"/>
  <c r="F14" i="11"/>
  <c r="C14" i="11"/>
  <c r="F13" i="11"/>
  <c r="C13" i="11"/>
  <c r="F12" i="11"/>
  <c r="C12" i="11"/>
  <c r="F7" i="11"/>
  <c r="C7" i="11"/>
  <c r="F6" i="11"/>
  <c r="C6" i="11"/>
  <c r="F5" i="11"/>
  <c r="C5" i="11"/>
  <c r="F4" i="11"/>
  <c r="C4" i="11"/>
  <c r="F3" i="11"/>
  <c r="C3" i="11"/>
  <c r="G12" i="11" l="1"/>
  <c r="I12" i="11" s="1"/>
  <c r="G3" i="11"/>
  <c r="I3" i="11" s="1"/>
  <c r="J3" i="11" s="1"/>
  <c r="G15" i="11"/>
  <c r="I15" i="11" s="1"/>
  <c r="J15" i="11" s="1"/>
  <c r="G13" i="11"/>
  <c r="I13" i="11" s="1"/>
  <c r="J13" i="11" s="1"/>
  <c r="G6" i="11"/>
  <c r="I6" i="11" s="1"/>
  <c r="J6" i="11" s="1"/>
  <c r="G5" i="11"/>
  <c r="I5" i="11" s="1"/>
  <c r="J5" i="11" s="1"/>
  <c r="G14" i="11"/>
  <c r="I14" i="11" s="1"/>
  <c r="J14" i="11" s="1"/>
  <c r="G4" i="11"/>
  <c r="I4" i="11" s="1"/>
  <c r="J4" i="11" s="1"/>
  <c r="G7" i="11"/>
  <c r="I7" i="11" s="1"/>
  <c r="J7" i="11" s="1"/>
  <c r="J12" i="11"/>
  <c r="J16" i="11" l="1"/>
  <c r="I16" i="11"/>
  <c r="I8" i="11"/>
  <c r="J8" i="11"/>
  <c r="B14" i="10" l="1"/>
  <c r="B2" i="10"/>
  <c r="B17" i="10" l="1"/>
  <c r="B19" i="10" s="1"/>
</calcChain>
</file>

<file path=xl/comments1.xml><?xml version="1.0" encoding="utf-8"?>
<comments xmlns="http://schemas.openxmlformats.org/spreadsheetml/2006/main">
  <authors>
    <author>Clauber Bridi</author>
    <author>User</author>
  </authors>
  <commentList>
    <comment ref="D42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E42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43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>Adotar o % definido na CCT.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Preencher a planilha Encargos Sociais.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78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>Adotar o % definido na CCT.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Preencher a planilha Encargos Sociais.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Adotar o % definido na CCT.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>Preencher a planilha Encargos Sociais.</t>
        </r>
      </text>
    </comment>
    <comment ref="D103" authorId="0" shapeId="0">
      <text>
        <r>
          <rPr>
            <sz val="9"/>
            <color indexed="81"/>
            <rFont val="Tahoma"/>
            <family val="2"/>
          </rPr>
          <t xml:space="preserve">Informar o valor unitário do VT no município.
</t>
        </r>
      </text>
    </comment>
    <comment ref="C104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C105" authorId="1" shapeId="0">
      <text>
        <r>
          <rPr>
            <b/>
            <sz val="9"/>
            <color indexed="81"/>
            <rFont val="Segoe UI"/>
            <family val="2"/>
          </rPr>
          <t>Esta é a quantidade de Vales transporte, já aplicado o fator de utilização.</t>
        </r>
      </text>
    </comment>
    <comment ref="D105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C106" authorId="1" shapeId="0">
      <text>
        <r>
          <rPr>
            <b/>
            <sz val="9"/>
            <color indexed="81"/>
            <rFont val="Segoe UI"/>
            <family val="2"/>
          </rPr>
          <t>Esta é a quantidade de Vales transporte, já aplicado o fator de utilização.</t>
        </r>
      </text>
    </comment>
    <comment ref="D106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C111" authorId="1" shapeId="0">
      <text>
        <r>
          <rPr>
            <b/>
            <sz val="9"/>
            <color indexed="81"/>
            <rFont val="Segoe UI"/>
            <family val="2"/>
          </rPr>
          <t>Esta é a quantidade de Vale Refeição, já aplicado o fator de utilização.</t>
        </r>
      </text>
    </comment>
    <comment ref="D111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conforme CCT da categoria.</t>
        </r>
      </text>
    </comment>
    <comment ref="C112" authorId="1" shapeId="0">
      <text>
        <r>
          <rPr>
            <b/>
            <sz val="9"/>
            <color indexed="81"/>
            <rFont val="Segoe UI"/>
            <family val="2"/>
          </rPr>
          <t>Inserir o % de desconto previsto na CCT desta categoria.</t>
        </r>
      </text>
    </comment>
    <comment ref="C113" authorId="1" shapeId="0">
      <text>
        <r>
          <rPr>
            <b/>
            <sz val="9"/>
            <color indexed="81"/>
            <rFont val="Segoe UI"/>
            <family val="2"/>
          </rPr>
          <t>Esta é a quantidade de Vale Refeição, já aplicado o fator de utilização.</t>
        </r>
      </text>
    </comment>
    <comment ref="D11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conforme CCT da categoria.</t>
        </r>
      </text>
    </comment>
    <comment ref="C114" authorId="1" shapeId="0">
      <text>
        <r>
          <rPr>
            <b/>
            <sz val="9"/>
            <color indexed="81"/>
            <rFont val="Segoe UI"/>
            <family val="2"/>
          </rPr>
          <t>Inserir o % de desconto previsto na CCT desta categoria.</t>
        </r>
      </text>
    </comment>
    <comment ref="D119" authorId="0" shapeId="0">
      <text>
        <r>
          <rPr>
            <sz val="9"/>
            <color indexed="81"/>
            <rFont val="Tahoma"/>
            <family val="2"/>
          </rPr>
          <t>Informar o valor unitário mensal do auxílio alimentação, conforme CCT da categoria,</t>
        </r>
      </text>
    </comment>
    <comment ref="C120" authorId="1" shapeId="0">
      <text>
        <r>
          <rPr>
            <b/>
            <sz val="9"/>
            <color indexed="81"/>
            <rFont val="Segoe UI"/>
            <family val="2"/>
          </rPr>
          <t>Inserir o % de desconto previsto na CCT desta categoria.</t>
        </r>
      </text>
    </comment>
    <comment ref="C125" authorId="1" shapeId="0">
      <text>
        <r>
          <rPr>
            <b/>
            <sz val="9"/>
            <color indexed="81"/>
            <rFont val="Segoe UI"/>
            <family val="2"/>
          </rPr>
          <t>Esta é a quantidade de Plano de Benefício Social Familiar, já aplicado o fator de utilização.</t>
        </r>
      </text>
    </comment>
    <comment ref="C126" authorId="1" shapeId="0">
      <text>
        <r>
          <rPr>
            <b/>
            <sz val="9"/>
            <color indexed="81"/>
            <rFont val="Segoe UI"/>
            <family val="2"/>
          </rPr>
          <t>Esta é a quantidade de Plano de Benefício Social Familiar, já aplicado o fator de utilização.</t>
        </r>
      </text>
    </comment>
    <comment ref="C131" authorId="1" shapeId="0">
      <text>
        <r>
          <rPr>
            <b/>
            <sz val="9"/>
            <color indexed="81"/>
            <rFont val="Segoe UI"/>
            <family val="2"/>
          </rPr>
          <t>Esta é a quantidade de Seguro de vida, já aplicado o fator de utilização.</t>
        </r>
      </text>
    </comment>
    <comment ref="D131" authorId="0" shapeId="0">
      <text>
        <r>
          <rPr>
            <sz val="9"/>
            <color indexed="81"/>
            <rFont val="Tahoma"/>
            <family val="2"/>
          </rPr>
          <t>Informar o valor unitário do seguro de vida.</t>
        </r>
      </text>
    </comment>
    <comment ref="C140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1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6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4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mensal de higienização dos uniformes de 1 funcionário.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60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6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>Informar a durabilidade estimada em meses, para cada EPI.
Fórmula: 12 meses (12), dividido pela quantidade mínima fornecida em cada ano.</t>
        </r>
      </text>
    </comment>
    <comment ref="D16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3" authorId="0" shapeId="0">
      <text>
        <r>
          <rPr>
            <sz val="9"/>
            <color indexed="81"/>
            <rFont val="Tahoma"/>
            <family val="2"/>
          </rPr>
          <t>Informar o valor mensal de higienização dos uniformes de 1 funcionário.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>Informar o preço unitário do chassis do veículo.</t>
        </r>
      </text>
    </comment>
    <comment ref="C174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5" authorId="0" shapeId="0">
      <text>
        <r>
          <rPr>
            <sz val="9"/>
            <color indexed="81"/>
            <rFont val="Tahoma"/>
            <family val="2"/>
          </rPr>
          <t>Informar a idade do veículo proposto.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8" authorId="0" shapeId="0">
      <text>
        <r>
          <rPr>
            <sz val="9"/>
            <color indexed="81"/>
            <rFont val="Tahoma"/>
            <family val="2"/>
          </rPr>
          <t>Informar o preço unitário do equipamento.</t>
        </r>
      </text>
    </comment>
    <comment ref="C179" authorId="0" shapeId="0">
      <text>
        <r>
          <rPr>
            <sz val="9"/>
            <color indexed="81"/>
            <rFont val="Tahoma"/>
            <family val="2"/>
          </rPr>
          <t>Informar a vida útil estimada para o equipamento, em anos.</t>
        </r>
      </text>
    </comment>
    <comment ref="C180" authorId="0" shapeId="0">
      <text>
        <r>
          <rPr>
            <sz val="9"/>
            <color indexed="81"/>
            <rFont val="Tahoma"/>
            <family val="2"/>
          </rPr>
          <t>Informar a idade do veículo, conforme exigido no projeto básico.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0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5" authorId="0" shapeId="0">
      <text>
        <r>
          <rPr>
            <sz val="9"/>
            <color indexed="81"/>
            <rFont val="Tahoma"/>
            <family val="2"/>
          </rPr>
          <t xml:space="preserve">Informar o valor licenciamento anual do veículo.
</t>
        </r>
      </text>
    </comment>
    <comment ref="D206" authorId="0" shapeId="0">
      <text>
        <r>
          <rPr>
            <sz val="9"/>
            <color indexed="81"/>
            <rFont val="Tahoma"/>
            <family val="2"/>
          </rPr>
          <t>Informar o valor do seguro contra terceiros do veículo.</t>
        </r>
      </text>
    </comment>
    <comment ref="B211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4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4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16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6" authorId="0" shapeId="0">
      <text>
        <r>
          <rPr>
            <sz val="9"/>
            <color indexed="81"/>
            <rFont val="Tahoma"/>
            <family val="2"/>
          </rPr>
          <t>Informar o preço unitário do ARLA</t>
        </r>
      </text>
    </comment>
    <comment ref="C218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0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2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4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1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2" authorId="1" shapeId="0">
      <text>
        <r>
          <rPr>
            <b/>
            <sz val="9"/>
            <color indexed="81"/>
            <rFont val="Segoe UI"/>
            <family val="2"/>
          </rPr>
          <t xml:space="preserve">Informar o número médio de lavagens por mês para os equipamento.
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>Informar o custo de uma lavagem do equipamento.</t>
        </r>
      </text>
    </comment>
    <comment ref="C237" authorId="0" shapeId="0">
      <text>
        <r>
          <rPr>
            <sz val="9"/>
            <color indexed="81"/>
            <rFont val="Tahoma"/>
            <family val="2"/>
          </rPr>
          <t>Informar a quantidade de pneus novos.</t>
        </r>
      </text>
    </comment>
    <comment ref="D237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38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39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247" authorId="0" shapeId="0">
      <text>
        <r>
          <rPr>
            <sz val="9"/>
            <color indexed="81"/>
            <rFont val="Tahoma"/>
            <family val="2"/>
          </rPr>
          <t>Informar o preço unitário do chassis do veículo.</t>
        </r>
      </text>
    </comment>
    <comment ref="C248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49" authorId="0" shapeId="0">
      <text>
        <r>
          <rPr>
            <sz val="9"/>
            <color indexed="81"/>
            <rFont val="Tahoma"/>
            <family val="2"/>
          </rPr>
          <t>Informar a idade do veículo proposto.</t>
        </r>
      </text>
    </comment>
    <comment ref="C250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2" authorId="0" shapeId="0">
      <text>
        <r>
          <rPr>
            <sz val="9"/>
            <color indexed="81"/>
            <rFont val="Tahoma"/>
            <family val="2"/>
          </rPr>
          <t>Informar o preço unitário do equipamento.</t>
        </r>
      </text>
    </comment>
    <comment ref="C253" authorId="0" shapeId="0">
      <text>
        <r>
          <rPr>
            <sz val="9"/>
            <color indexed="81"/>
            <rFont val="Tahoma"/>
            <family val="2"/>
          </rPr>
          <t>Informar a vida útil estimada para o equipamento, em anos.</t>
        </r>
      </text>
    </comment>
    <comment ref="C254" authorId="0" shapeId="0">
      <text>
        <r>
          <rPr>
            <sz val="9"/>
            <color indexed="81"/>
            <rFont val="Tahoma"/>
            <family val="2"/>
          </rPr>
          <t>Informar a idade do veículo, conforme exigido no projeto básico.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9" authorId="0" shapeId="0">
      <text>
        <r>
          <rPr>
            <sz val="9"/>
            <color indexed="81"/>
            <rFont val="Tahoma"/>
            <family val="2"/>
          </rPr>
          <t xml:space="preserve">Informar o valor licenciamento anual do veículo.
</t>
        </r>
      </text>
    </comment>
    <comment ref="D280" authorId="0" shapeId="0">
      <text>
        <r>
          <rPr>
            <sz val="9"/>
            <color indexed="81"/>
            <rFont val="Tahoma"/>
            <family val="2"/>
          </rPr>
          <t>Informar o valor do seguro contra terceiros do veículo.</t>
        </r>
      </text>
    </comment>
    <comment ref="B28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8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8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90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90" authorId="0" shapeId="0">
      <text>
        <r>
          <rPr>
            <sz val="9"/>
            <color indexed="81"/>
            <rFont val="Tahoma"/>
            <family val="2"/>
          </rPr>
          <t>Informar o preço unitário do ARLA</t>
        </r>
      </text>
    </comment>
    <comment ref="C292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9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94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9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96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9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98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98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305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06" authorId="1" shapeId="0">
      <text>
        <r>
          <rPr>
            <b/>
            <sz val="9"/>
            <color indexed="81"/>
            <rFont val="Segoe UI"/>
            <family val="2"/>
          </rPr>
          <t xml:space="preserve">Informar o número médio de lavagens por mês para os equipamento.
</t>
        </r>
      </text>
    </comment>
    <comment ref="D306" authorId="0" shapeId="0">
      <text>
        <r>
          <rPr>
            <sz val="9"/>
            <color indexed="81"/>
            <rFont val="Tahoma"/>
            <family val="2"/>
          </rPr>
          <t>Informar o custo de uma lavagem do equipamento.</t>
        </r>
      </text>
    </comment>
    <comment ref="C311" authorId="0" shapeId="0">
      <text>
        <r>
          <rPr>
            <sz val="9"/>
            <color indexed="81"/>
            <rFont val="Tahoma"/>
            <family val="2"/>
          </rPr>
          <t>Informar a quantidade de pneus novos.</t>
        </r>
      </text>
    </comment>
    <comment ref="D311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12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313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314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321" authorId="0" shapeId="0">
      <text>
        <r>
          <rPr>
            <sz val="9"/>
            <color indexed="81"/>
            <rFont val="Tahoma"/>
            <family val="2"/>
          </rPr>
          <t>Informar o preço unitário do veículo.</t>
        </r>
      </text>
    </comment>
    <comment ref="C322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323" authorId="0" shapeId="0">
      <text>
        <r>
          <rPr>
            <sz val="9"/>
            <color indexed="81"/>
            <rFont val="Tahoma"/>
            <family val="2"/>
          </rPr>
          <t>Informar a idade do veículo proposto.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5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6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57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362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5" authorId="0" shapeId="0">
      <text>
        <r>
          <rPr>
            <sz val="9"/>
            <color indexed="81"/>
            <rFont val="Tahoma"/>
            <family val="2"/>
          </rPr>
          <t>Informar o valor unitário para instalação do equipamento de monitoramento da frota.</t>
        </r>
      </text>
    </comment>
    <comment ref="D367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monitoramento.</t>
        </r>
      </text>
    </comment>
    <comment ref="C387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<sst xmlns="http://schemas.openxmlformats.org/spreadsheetml/2006/main" count="770" uniqueCount="324">
  <si>
    <t>hora</t>
  </si>
  <si>
    <t>Adicional de Insalubridade</t>
  </si>
  <si>
    <t>%</t>
  </si>
  <si>
    <t>Soma</t>
  </si>
  <si>
    <t>Encargos Sociais</t>
  </si>
  <si>
    <t>Total do Efetivo</t>
  </si>
  <si>
    <t>mês</t>
  </si>
  <si>
    <t>vale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</si>
  <si>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</si>
  <si>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</si>
  <si>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</si>
  <si>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</si>
  <si>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</si>
  <si>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</si>
  <si>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</si>
  <si>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</si>
  <si>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</si>
  <si>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</si>
  <si>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</si>
  <si>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</si>
  <si>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</si>
  <si>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</si>
  <si>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</si>
  <si>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</si>
  <si>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R$</t>
  </si>
  <si>
    <t>Horas Extras (100%)</t>
  </si>
  <si>
    <t>Horas Extras (50%)</t>
  </si>
  <si>
    <t>Benefícios e despesas indiretas</t>
  </si>
  <si>
    <t>Custo mensal com manutenção</t>
  </si>
  <si>
    <t>Mão-de-obra</t>
  </si>
  <si>
    <t>Quantidade</t>
  </si>
  <si>
    <t>INSS</t>
  </si>
  <si>
    <t>FGTS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</si>
  <si>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</si>
  <si>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</si>
  <si>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</si>
  <si>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</si>
  <si>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</si>
  <si>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</si>
  <si>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</si>
  <si>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</si>
  <si>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</si>
  <si>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</si>
  <si>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</si>
  <si>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</si>
  <si>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</si>
  <si>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Custo mensal com implantação</t>
  </si>
  <si>
    <t>3.1.6. Pneus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</si>
  <si>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</si>
  <si>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</si>
  <si>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</si>
  <si>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</si>
  <si>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Custo de recapagem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</si>
  <si>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</si>
  <si>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</si>
  <si>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</si>
  <si>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</si>
  <si>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</si>
  <si>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</si>
  <si>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</si>
  <si>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</si>
  <si>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</si>
  <si>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</si>
  <si>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</si>
  <si>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</si>
  <si>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</si>
  <si>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</si>
  <si>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</si>
  <si>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</si>
  <si>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</si>
  <si>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Vale Transporte</t>
  </si>
  <si>
    <t>Dias Trabalhados por mês</t>
  </si>
  <si>
    <t>dia</t>
  </si>
  <si>
    <t>Custo Mensal com Mão-de-obra (R$/mês)</t>
  </si>
  <si>
    <t>Quantitativos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</si>
  <si>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</si>
  <si>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</si>
  <si>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</si>
  <si>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</si>
  <si>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</si>
  <si>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</si>
  <si>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</si>
  <si>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</si>
  <si>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</si>
  <si>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</si>
  <si>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</si>
  <si>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Custo de manutenção dos caminhões</t>
  </si>
  <si>
    <t>R$/km rodado</t>
  </si>
  <si>
    <t>Número de recapagens por pneu</t>
  </si>
  <si>
    <t>R$ mensal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</si>
  <si>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</si>
  <si>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</si>
  <si>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</si>
  <si>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</si>
  <si>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</si>
  <si>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</si>
  <si>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</si>
  <si>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</si>
  <si>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</si>
  <si>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</si>
  <si>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</si>
  <si>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</si>
  <si>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</si>
  <si>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</si>
  <si>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</si>
  <si>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</si>
  <si>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</si>
  <si>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</si>
  <si>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</si>
  <si>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</si>
  <si>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</si>
  <si>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</si>
  <si>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</si>
  <si>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</si>
  <si>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</si>
  <si>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</si>
  <si>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</si>
  <si>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</si>
  <si>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</si>
  <si>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</si>
  <si>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</si>
  <si>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</si>
  <si>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</si>
  <si>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</si>
  <si>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</si>
  <si>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</si>
  <si>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</si>
  <si>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</si>
  <si>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</si>
  <si>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</si>
  <si>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</si>
  <si>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</si>
  <si>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</si>
  <si>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</si>
  <si>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</si>
  <si>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</si>
  <si>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</si>
  <si>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</si>
  <si>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</si>
  <si>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</si>
  <si>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</si>
  <si>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</si>
  <si>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</si>
  <si>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Fator de utilização</t>
  </si>
  <si>
    <t>Higienização de uniformes e EPIs</t>
  </si>
  <si>
    <t>Custo Mensal com Uniformes e EPIs (R$/mês)</t>
  </si>
  <si>
    <t>Descrição do Item</t>
  </si>
  <si>
    <t>Orçamento Sintético</t>
  </si>
  <si>
    <t>Idade do veículo (ano)</t>
  </si>
  <si>
    <t>Idade do veículo</t>
  </si>
  <si>
    <t>Valor do veículo proposto (V0)</t>
  </si>
  <si>
    <t>Taxa de juros anual nominal</t>
  </si>
  <si>
    <t>Base de cálculo da Insalubridade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</si>
  <si>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</si>
  <si>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</si>
  <si>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</si>
  <si>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</si>
  <si>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</si>
  <si>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</si>
  <si>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Ferramentas e Materiais de Consumo (R$/mês)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</si>
  <si>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</si>
  <si>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</si>
  <si>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</si>
  <si>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</si>
  <si>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</si>
  <si>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</si>
  <si>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</si>
  <si>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</si>
  <si>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</si>
  <si>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</si>
  <si>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</si>
  <si>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Fórmula de cálculo da remuneração de capital:</t>
  </si>
  <si>
    <t>Durabilidade (meses)</t>
  </si>
  <si>
    <t>Custo com consumos/km rodado</t>
  </si>
  <si>
    <t>Consumo</t>
  </si>
  <si>
    <t>Total da frota</t>
  </si>
  <si>
    <t>i</t>
  </si>
  <si>
    <t>Depreciação Média</t>
  </si>
  <si>
    <t>Reincidência de FGTS sobre aviso prévio indenizado</t>
  </si>
  <si>
    <t>Salário mínimo nacional (1)</t>
  </si>
  <si>
    <t>01/01 - Confraternização Universal</t>
  </si>
  <si>
    <t>21/04 - Tiradentes</t>
  </si>
  <si>
    <t>01/05 - Dia do Trabalho</t>
  </si>
  <si>
    <t>07/09 - Independência do Brasil</t>
  </si>
  <si>
    <t>20/09 - Revolução Farroupilha</t>
  </si>
  <si>
    <t>02/11 - Finados</t>
  </si>
  <si>
    <t>15/11 - Proclamação da República</t>
  </si>
  <si>
    <t>25/12 - Natal</t>
  </si>
  <si>
    <t>Municipais</t>
  </si>
  <si>
    <t>Sub-Total</t>
  </si>
  <si>
    <t>20/01 - São Sebastião Mártir</t>
  </si>
  <si>
    <r>
      <t xml:space="preserve">PLANILHA DE COMPOSIÇÃO DE CUSTOS E FORMAÇÃO DE PREÇO </t>
    </r>
    <r>
      <rPr>
        <b/>
        <sz val="16"/>
        <color indexed="20"/>
        <rFont val="Arial"/>
        <family val="2"/>
      </rPr>
      <t xml:space="preserve"> </t>
    </r>
  </si>
  <si>
    <t>25/07 - Dia do Colono e Motorista</t>
  </si>
  <si>
    <t>12/10 - Nossa Senhora Aparecida</t>
  </si>
  <si>
    <t>FERIADOS NACIONAIS, ESTADUAIS E MUNICIPAIS</t>
  </si>
  <si>
    <t>Nacionais / Estaduais</t>
  </si>
  <si>
    <t>Coincidências com domingos (média)</t>
  </si>
  <si>
    <t>Total por veículo equipado</t>
  </si>
  <si>
    <t>Quilometragem mensal (coleta)</t>
  </si>
  <si>
    <t>3.2.1. Depreciação</t>
  </si>
  <si>
    <t>3.2.2. Remuneração do Capital</t>
  </si>
  <si>
    <t>3.2.3. Impostos e Seguros</t>
  </si>
  <si>
    <t>3.2.4. Consumos</t>
  </si>
  <si>
    <t>3.2.5. Manutenção</t>
  </si>
  <si>
    <t>3.2.6. Pneus</t>
  </si>
  <si>
    <t>Coletor (Valor líquido, descontado 6,00% s/piso sal.)</t>
  </si>
  <si>
    <t>Desconto previsto na CCT</t>
  </si>
  <si>
    <t>Custo mensal ARLA 32</t>
  </si>
  <si>
    <t>Vriável - Sexta feira Santa</t>
  </si>
  <si>
    <t>Variável - Corpus Cristhi</t>
  </si>
  <si>
    <t>Total feriados a considerar</t>
  </si>
  <si>
    <t>Custo com lavagens</t>
  </si>
  <si>
    <t>Mês</t>
  </si>
  <si>
    <t>pçs / ano</t>
  </si>
  <si>
    <t>Motorista</t>
  </si>
  <si>
    <t>2.1. Uniformes e EPIs para Coletor</t>
  </si>
  <si>
    <t>5.1- Veículos de coleta</t>
  </si>
  <si>
    <t>Motorista (Vlr líq. desc. 6,% s/piso sal.)</t>
  </si>
  <si>
    <t>2.2. Uniformes e EPIs para motoristas</t>
  </si>
  <si>
    <t>1.4. Vale Transporte</t>
  </si>
  <si>
    <t>1.5. Vale-refeição (diário)</t>
  </si>
  <si>
    <t>1.6. Auxílio Alimentação (mensal)</t>
  </si>
  <si>
    <t>1.7. Plano de Benefício Social Familiar (mensal)</t>
  </si>
  <si>
    <t>CUSTO COM LAVAGEM UNIFORMES  -   Coletores</t>
  </si>
  <si>
    <t>Dias uso
s/lavar
(dias)</t>
  </si>
  <si>
    <t>Fator de utilização
(% ano)</t>
  </si>
  <si>
    <t>Unid.</t>
  </si>
  <si>
    <t>Qtde.
p/Func.</t>
  </si>
  <si>
    <t>Qtde. Lavagens mês</t>
  </si>
  <si>
    <t>Total pçs.
Lavadas
mês</t>
  </si>
  <si>
    <t>Peso
Gramas
p/pç</t>
  </si>
  <si>
    <t>Peso mensal
Kg</t>
  </si>
  <si>
    <t>Custo
Mensal</t>
  </si>
  <si>
    <t>Meias</t>
  </si>
  <si>
    <t>Camisetas</t>
  </si>
  <si>
    <t>pç</t>
  </si>
  <si>
    <t>Calça</t>
  </si>
  <si>
    <t>Boné</t>
  </si>
  <si>
    <t>Jaqueta (usa cinco meses)</t>
  </si>
  <si>
    <t>CUSTO COM LAVAGEM UNIFORMES  -   Motoristas</t>
  </si>
  <si>
    <t>Preço da lavagem por Kg</t>
  </si>
  <si>
    <t>Custo
(R$/mês)</t>
  </si>
  <si>
    <t>AV %</t>
  </si>
  <si>
    <t>Composição BDI - Benefícios e Desp. Indiretas</t>
  </si>
  <si>
    <t>Salário</t>
  </si>
  <si>
    <t>Motoristas</t>
  </si>
  <si>
    <t>Calçado de segurança c/palmilha aço - 6 pares/Ano</t>
  </si>
  <si>
    <t>Jaqueta com reflexivo (NBR 15.292) - 4 pçs/Ano</t>
  </si>
  <si>
    <t>Calça - 8 pçs/Ano</t>
  </si>
  <si>
    <t>Camiseta - 8 pçs/Ano</t>
  </si>
  <si>
    <t>Bonés - 2 pçs/Ano</t>
  </si>
  <si>
    <t>Meias - 8 pares/Ano</t>
  </si>
  <si>
    <t>Capa de chuva amarela com reflexivo - 1 pç/Ano</t>
  </si>
  <si>
    <t>Colete refletivo - 4 pç/Ano</t>
  </si>
  <si>
    <t>Luvas de proteção - 8 pares/ano</t>
  </si>
  <si>
    <t>Protetor solar FPS 30 - 4 unid./Ano</t>
  </si>
  <si>
    <t>Jaqueta com reflexivo (NBR 15.292) - 2 pçs/Ano</t>
  </si>
  <si>
    <t>Calça - 4 pçs/Ano</t>
  </si>
  <si>
    <t>Camiseta - 4 pçs/Ano</t>
  </si>
  <si>
    <t>Calçados de segurança c/palmilha aço-2 pares/Ano</t>
  </si>
  <si>
    <t>Bonés - 3 pçs/Ano</t>
  </si>
  <si>
    <t>Recipiente térmico para água (5L) - 1 pçs</t>
  </si>
  <si>
    <t>Vassourão - 2 pçs</t>
  </si>
  <si>
    <t>Balde - 2 pçs</t>
  </si>
  <si>
    <t>Escova com cerdas de aço - 2 pçs</t>
  </si>
  <si>
    <t>Pá de Concha - 2 pçs</t>
  </si>
  <si>
    <t>Vassoura - 2 pçs</t>
  </si>
  <si>
    <t>Licenciamento</t>
  </si>
  <si>
    <t>Custo jogo completo</t>
  </si>
  <si>
    <t xml:space="preserve">Total </t>
  </si>
  <si>
    <t>Piso da categoria</t>
  </si>
  <si>
    <t>1.8. Seguro de vida</t>
  </si>
  <si>
    <t>Custo mensal com Arla 32</t>
  </si>
  <si>
    <t>Km</t>
  </si>
  <si>
    <t>Salário mínimo nacional</t>
  </si>
  <si>
    <t>Custo de aquisição compactador lateral</t>
  </si>
  <si>
    <t xml:space="preserve">Vida útil  </t>
  </si>
  <si>
    <t xml:space="preserve">Idade  </t>
  </si>
  <si>
    <t xml:space="preserve">Depreciação  </t>
  </si>
  <si>
    <t xml:space="preserve">Depr. mensal  </t>
  </si>
  <si>
    <t xml:space="preserve">Total do Veículo </t>
  </si>
  <si>
    <t>Valor do coletor</t>
  </si>
  <si>
    <t>Investimento médio total do coletor</t>
  </si>
  <si>
    <t>Remuneração mensal de capital do coletor</t>
  </si>
  <si>
    <t>Custo do jogo de pneus 275 / 80 / R 22,5</t>
  </si>
  <si>
    <t>Custo de aquisição lavador lateral</t>
  </si>
  <si>
    <t>Fator utilização lavadora PEV (FU)</t>
  </si>
  <si>
    <t>3.3.1. Depreciação</t>
  </si>
  <si>
    <t>3.3.2. Remuneração do Capital</t>
  </si>
  <si>
    <t>Custo de aquisição dos contêineres</t>
  </si>
  <si>
    <t>Vida útil dos contêineres</t>
  </si>
  <si>
    <t>Idade dos contêineres</t>
  </si>
  <si>
    <t>Depreciação dos contêineres</t>
  </si>
  <si>
    <t>Depreciação mensal dos contêineres</t>
  </si>
  <si>
    <t>Total do contêiner</t>
  </si>
  <si>
    <t>Total dos contêineres</t>
  </si>
  <si>
    <t>Custo do contêiner</t>
  </si>
  <si>
    <t>Valor do contêiner proposto (V0)</t>
  </si>
  <si>
    <t>Investimento médio total do contêiner</t>
  </si>
  <si>
    <t>Remuneração mensal de capital do contêiner</t>
  </si>
  <si>
    <t>Total por contêiner</t>
  </si>
  <si>
    <t>Custo de manutenção dos contêineres</t>
  </si>
  <si>
    <t>R$/mês</t>
  </si>
  <si>
    <t>Custo Mensal com Veículos e Equipamentos (R$/mês)</t>
  </si>
  <si>
    <t>CUSTO TOTAL MENSAL COM CUSTOS E DESP. OPERACIONAIS (R$/mês)</t>
  </si>
  <si>
    <t xml:space="preserve">7. Benefícios e Despesas Indiretas - BDI </t>
  </si>
  <si>
    <t xml:space="preserve">CUSTO MENSAL COM BDI (R$/mês) </t>
  </si>
  <si>
    <t xml:space="preserve">PREÇO MENSAL TOTAL (R$/mês) </t>
  </si>
  <si>
    <t xml:space="preserve">B.D.I. </t>
  </si>
  <si>
    <t>3.1. Veículo Coletor Carga Lateral</t>
  </si>
  <si>
    <t>3.2. Veículo Lavador Carga Lateral</t>
  </si>
  <si>
    <t>3.3. Contêineres com carga lateral</t>
  </si>
  <si>
    <t>3.3.3. Manutenção e reposição de contêiner</t>
  </si>
  <si>
    <t>5.2- Veículos de lavagem</t>
  </si>
  <si>
    <t>homem</t>
  </si>
  <si>
    <t xml:space="preserve">1.1. Coletor Turno Dia </t>
  </si>
  <si>
    <t>1.2. Motoristas coletor</t>
  </si>
  <si>
    <t>1.3. Motoristas lavador</t>
  </si>
  <si>
    <t xml:space="preserve">Fator utilização coleta </t>
  </si>
  <si>
    <t>equipes e equipamentos coleta</t>
  </si>
  <si>
    <t>equipe e equipamento lavagem</t>
  </si>
  <si>
    <t>Piso da categoria (Salário )</t>
  </si>
  <si>
    <t xml:space="preserve">1. Coleta de Resíduos Sólidos Urbanos (RSU)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</si>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</sst>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#,##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indexed="20"/>
      <name val="Arial"/>
      <family val="2"/>
    </font>
    <font>
      <b/>
      <sz val="9"/>
      <color indexed="81"/>
      <name val="Segoe UI"/>
      <family val="2"/>
    </font>
    <font>
      <b/>
      <u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403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166" fontId="0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6" fontId="8" fillId="0" borderId="2" xfId="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1" xfId="3" applyFont="1" applyBorder="1" applyAlignment="1">
      <alignment horizontal="center" vertical="center"/>
    </xf>
    <xf numFmtId="166" fontId="5" fillId="2" borderId="4" xfId="3" applyFont="1" applyFill="1" applyBorder="1" applyAlignment="1">
      <alignment horizontal="center" vertical="center"/>
    </xf>
    <xf numFmtId="166" fontId="5" fillId="2" borderId="4" xfId="3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5" fillId="0" borderId="6" xfId="3" applyFont="1" applyBorder="1" applyAlignment="1">
      <alignment vertical="center"/>
    </xf>
    <xf numFmtId="166" fontId="5" fillId="0" borderId="7" xfId="3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6" fontId="8" fillId="0" borderId="6" xfId="3" applyFont="1" applyBorder="1" applyAlignment="1">
      <alignment vertical="center"/>
    </xf>
    <xf numFmtId="166" fontId="8" fillId="0" borderId="7" xfId="3" applyFont="1" applyBorder="1" applyAlignment="1">
      <alignment vertical="center"/>
    </xf>
    <xf numFmtId="166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6" fontId="5" fillId="0" borderId="0" xfId="3" applyFont="1" applyBorder="1" applyAlignment="1">
      <alignment vertical="center"/>
    </xf>
    <xf numFmtId="166" fontId="5" fillId="0" borderId="5" xfId="3" applyFont="1" applyBorder="1" applyAlignment="1">
      <alignment horizontal="left" vertical="center"/>
    </xf>
    <xf numFmtId="166" fontId="5" fillId="0" borderId="10" xfId="3" applyFont="1" applyBorder="1" applyAlignment="1">
      <alignment horizontal="right" vertical="center"/>
    </xf>
    <xf numFmtId="166" fontId="0" fillId="0" borderId="11" xfId="3" applyFont="1" applyBorder="1" applyAlignment="1">
      <alignment vertical="center"/>
    </xf>
    <xf numFmtId="166" fontId="8" fillId="0" borderId="1" xfId="3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166" fontId="8" fillId="0" borderId="0" xfId="3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6" fontId="14" fillId="2" borderId="13" xfId="3" applyFont="1" applyFill="1" applyBorder="1" applyAlignment="1">
      <alignment horizontal="center" vertical="center"/>
    </xf>
    <xf numFmtId="166" fontId="14" fillId="2" borderId="14" xfId="3" applyFont="1" applyFill="1" applyBorder="1" applyAlignment="1">
      <alignment horizontal="center" vertical="center"/>
    </xf>
    <xf numFmtId="166" fontId="3" fillId="0" borderId="11" xfId="3" applyFont="1" applyBorder="1" applyAlignment="1">
      <alignment horizontal="left" vertical="center"/>
    </xf>
    <xf numFmtId="166" fontId="8" fillId="0" borderId="8" xfId="3" applyFont="1" applyBorder="1" applyAlignment="1">
      <alignment vertical="center"/>
    </xf>
    <xf numFmtId="166" fontId="8" fillId="0" borderId="11" xfId="3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66" fontId="5" fillId="0" borderId="23" xfId="3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166" fontId="13" fillId="0" borderId="1" xfId="3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5" fillId="2" borderId="4" xfId="3" applyNumberFormat="1" applyFont="1" applyFill="1" applyBorder="1" applyAlignment="1">
      <alignment horizontal="center" vertical="center"/>
    </xf>
    <xf numFmtId="166" fontId="8" fillId="0" borderId="1" xfId="3" applyFont="1" applyFill="1" applyBorder="1" applyAlignment="1">
      <alignment horizontal="center" vertical="center"/>
    </xf>
    <xf numFmtId="167" fontId="8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3" applyFont="1" applyBorder="1" applyAlignment="1">
      <alignment horizontal="center" vertical="center"/>
    </xf>
    <xf numFmtId="0" fontId="5" fillId="0" borderId="0" xfId="0" applyFont="1"/>
    <xf numFmtId="166" fontId="5" fillId="0" borderId="1" xfId="3" applyFont="1" applyFill="1" applyBorder="1" applyAlignment="1">
      <alignment horizontal="center" vertical="center"/>
    </xf>
    <xf numFmtId="166" fontId="5" fillId="0" borderId="3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5" fillId="2" borderId="7" xfId="3" applyFont="1" applyFill="1" applyBorder="1" applyAlignment="1">
      <alignment horizontal="center" vertical="center"/>
    </xf>
    <xf numFmtId="166" fontId="5" fillId="0" borderId="11" xfId="3" applyFont="1" applyBorder="1" applyAlignment="1">
      <alignment vertical="center"/>
    </xf>
    <xf numFmtId="166" fontId="5" fillId="0" borderId="32" xfId="3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6" fontId="8" fillId="0" borderId="33" xfId="3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32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3" xfId="3" applyFont="1" applyFill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2" fontId="20" fillId="6" borderId="1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2" fontId="20" fillId="6" borderId="30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0" fontId="20" fillId="0" borderId="15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0" fontId="24" fillId="0" borderId="15" xfId="0" applyNumberFormat="1" applyFont="1" applyBorder="1" applyAlignment="1">
      <alignment horizontal="right" vertical="center"/>
    </xf>
    <xf numFmtId="0" fontId="20" fillId="5" borderId="18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left" vertical="center"/>
    </xf>
    <xf numFmtId="10" fontId="24" fillId="5" borderId="15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10" fontId="8" fillId="0" borderId="0" xfId="0" applyNumberFormat="1" applyFont="1"/>
    <xf numFmtId="9" fontId="20" fillId="0" borderId="0" xfId="2" applyFont="1" applyBorder="1" applyAlignment="1">
      <alignment horizontal="right" vertical="center"/>
    </xf>
    <xf numFmtId="10" fontId="8" fillId="0" borderId="0" xfId="0" applyNumberFormat="1" applyFont="1" applyBorder="1"/>
    <xf numFmtId="0" fontId="20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0" fillId="8" borderId="19" xfId="0" applyFont="1" applyFill="1" applyBorder="1" applyAlignment="1">
      <alignment horizontal="left" vertical="center"/>
    </xf>
    <xf numFmtId="0" fontId="24" fillId="8" borderId="30" xfId="0" applyFont="1" applyFill="1" applyBorder="1" applyAlignment="1">
      <alignment horizontal="left" vertical="center"/>
    </xf>
    <xf numFmtId="10" fontId="24" fillId="8" borderId="3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10" fontId="24" fillId="0" borderId="0" xfId="0" applyNumberFormat="1" applyFont="1" applyFill="1" applyBorder="1" applyAlignment="1">
      <alignment horizontal="right" vertical="center"/>
    </xf>
    <xf numFmtId="0" fontId="26" fillId="4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10" fontId="24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justify" vertical="center"/>
    </xf>
    <xf numFmtId="0" fontId="10" fillId="0" borderId="0" xfId="1" applyFont="1" applyBorder="1" applyAlignment="1" applyProtection="1">
      <alignment horizontal="left" vertical="center"/>
    </xf>
    <xf numFmtId="0" fontId="28" fillId="0" borderId="0" xfId="0" applyFont="1" applyBorder="1"/>
    <xf numFmtId="0" fontId="20" fillId="0" borderId="0" xfId="0" applyFont="1" applyBorder="1" applyAlignment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7" fillId="0" borderId="18" xfId="0" applyFont="1" applyBorder="1"/>
    <xf numFmtId="9" fontId="7" fillId="0" borderId="18" xfId="2" applyFont="1" applyBorder="1"/>
    <xf numFmtId="9" fontId="7" fillId="0" borderId="1" xfId="2" applyFont="1" applyBorder="1" applyAlignment="1">
      <alignment horizontal="center"/>
    </xf>
    <xf numFmtId="9" fontId="7" fillId="0" borderId="15" xfId="2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0" fontId="7" fillId="3" borderId="9" xfId="0" applyNumberFormat="1" applyFont="1" applyFill="1" applyBorder="1" applyAlignment="1">
      <alignment horizontal="center" vertical="center"/>
    </xf>
    <xf numFmtId="10" fontId="7" fillId="0" borderId="15" xfId="2" applyNumberFormat="1" applyFont="1" applyBorder="1"/>
    <xf numFmtId="0" fontId="7" fillId="0" borderId="18" xfId="0" applyFont="1" applyFill="1" applyBorder="1" applyAlignment="1">
      <alignment horizontal="left" vertical="center"/>
    </xf>
    <xf numFmtId="10" fontId="7" fillId="3" borderId="15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5" xfId="0" applyFont="1" applyBorder="1"/>
    <xf numFmtId="0" fontId="7" fillId="0" borderId="19" xfId="0" applyFont="1" applyFill="1" applyBorder="1" applyAlignment="1">
      <alignment horizontal="left" vertical="center"/>
    </xf>
    <xf numFmtId="10" fontId="7" fillId="3" borderId="3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/>
    </xf>
    <xf numFmtId="10" fontId="9" fillId="5" borderId="7" xfId="0" applyNumberFormat="1" applyFont="1" applyFill="1" applyBorder="1" applyAlignment="1">
      <alignment horizontal="center" vertical="center" wrapText="1"/>
    </xf>
    <xf numFmtId="10" fontId="7" fillId="0" borderId="18" xfId="2" applyNumberFormat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10" fontId="7" fillId="0" borderId="15" xfId="2" applyNumberFormat="1" applyFont="1" applyBorder="1" applyAlignment="1">
      <alignment horizontal="right"/>
    </xf>
    <xf numFmtId="10" fontId="7" fillId="0" borderId="19" xfId="2" applyNumberFormat="1" applyFont="1" applyBorder="1" applyAlignment="1">
      <alignment horizontal="right"/>
    </xf>
    <xf numFmtId="10" fontId="7" fillId="0" borderId="30" xfId="2" applyNumberFormat="1" applyFont="1" applyBorder="1" applyAlignment="1">
      <alignment horizontal="right"/>
    </xf>
    <xf numFmtId="10" fontId="7" fillId="0" borderId="31" xfId="2" applyNumberFormat="1" applyFont="1" applyBorder="1" applyAlignment="1">
      <alignment horizontal="right"/>
    </xf>
    <xf numFmtId="0" fontId="8" fillId="0" borderId="37" xfId="0" applyFont="1" applyBorder="1"/>
    <xf numFmtId="0" fontId="21" fillId="0" borderId="37" xfId="0" applyFont="1" applyBorder="1" applyAlignment="1">
      <alignment horizontal="justify"/>
    </xf>
    <xf numFmtId="0" fontId="21" fillId="0" borderId="38" xfId="0" applyFont="1" applyBorder="1" applyAlignment="1">
      <alignment horizontal="justify"/>
    </xf>
    <xf numFmtId="0" fontId="18" fillId="9" borderId="36" xfId="0" applyFont="1" applyFill="1" applyBorder="1" applyAlignment="1">
      <alignment horizontal="center"/>
    </xf>
    <xf numFmtId="1" fontId="8" fillId="0" borderId="0" xfId="3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6" fontId="5" fillId="0" borderId="5" xfId="3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39" xfId="0" applyFont="1" applyBorder="1" applyAlignment="1">
      <alignment horizontal="center" vertical="center"/>
    </xf>
    <xf numFmtId="166" fontId="5" fillId="0" borderId="39" xfId="3" applyFont="1" applyBorder="1" applyAlignment="1">
      <alignment horizontal="center" vertical="center"/>
    </xf>
    <xf numFmtId="166" fontId="5" fillId="0" borderId="39" xfId="3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4" fontId="29" fillId="0" borderId="0" xfId="0" applyNumberFormat="1" applyFont="1" applyBorder="1" applyAlignment="1">
      <alignment vertical="center"/>
    </xf>
    <xf numFmtId="0" fontId="3" fillId="0" borderId="0" xfId="4" applyFont="1"/>
    <xf numFmtId="0" fontId="5" fillId="0" borderId="40" xfId="4" applyFont="1" applyBorder="1"/>
    <xf numFmtId="167" fontId="3" fillId="0" borderId="41" xfId="5" applyNumberFormat="1" applyFont="1" applyBorder="1"/>
    <xf numFmtId="0" fontId="5" fillId="0" borderId="44" xfId="4" applyFont="1" applyBorder="1"/>
    <xf numFmtId="167" fontId="5" fillId="0" borderId="45" xfId="5" applyNumberFormat="1" applyFont="1" applyBorder="1"/>
    <xf numFmtId="167" fontId="5" fillId="0" borderId="41" xfId="5" applyNumberFormat="1" applyFont="1" applyBorder="1"/>
    <xf numFmtId="16" fontId="3" fillId="0" borderId="40" xfId="4" applyNumberFormat="1" applyFont="1" applyBorder="1"/>
    <xf numFmtId="0" fontId="3" fillId="0" borderId="40" xfId="4" applyFont="1" applyBorder="1"/>
    <xf numFmtId="167" fontId="3" fillId="0" borderId="41" xfId="5" applyNumberFormat="1" applyFont="1" applyFill="1" applyBorder="1"/>
    <xf numFmtId="0" fontId="5" fillId="0" borderId="42" xfId="4" applyFont="1" applyBorder="1"/>
    <xf numFmtId="166" fontId="5" fillId="0" borderId="43" xfId="5" applyNumberFormat="1" applyFont="1" applyBorder="1"/>
    <xf numFmtId="167" fontId="3" fillId="0" borderId="0" xfId="5" applyNumberFormat="1" applyFont="1"/>
    <xf numFmtId="0" fontId="11" fillId="0" borderId="0" xfId="4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8" fillId="0" borderId="23" xfId="3" applyFont="1" applyBorder="1" applyAlignment="1">
      <alignment vertical="center"/>
    </xf>
    <xf numFmtId="166" fontId="8" fillId="0" borderId="24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66" fontId="0" fillId="0" borderId="11" xfId="3" applyFont="1" applyFill="1" applyBorder="1" applyAlignment="1">
      <alignment vertical="center"/>
    </xf>
    <xf numFmtId="2" fontId="24" fillId="6" borderId="1" xfId="0" applyNumberFormat="1" applyFont="1" applyFill="1" applyBorder="1" applyAlignment="1">
      <alignment horizontal="right" vertical="center"/>
    </xf>
    <xf numFmtId="166" fontId="5" fillId="0" borderId="11" xfId="3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6" fontId="8" fillId="0" borderId="0" xfId="3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66" fontId="8" fillId="0" borderId="32" xfId="3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66" fontId="5" fillId="0" borderId="33" xfId="3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5" fillId="0" borderId="33" xfId="3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33" fillId="0" borderId="32" xfId="1" applyFont="1" applyBorder="1" applyAlignment="1" applyProtection="1">
      <alignment vertical="center"/>
    </xf>
    <xf numFmtId="166" fontId="8" fillId="0" borderId="33" xfId="3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66" fontId="5" fillId="0" borderId="33" xfId="3" applyFont="1" applyBorder="1" applyAlignment="1">
      <alignment horizontal="center" vertical="center"/>
    </xf>
    <xf numFmtId="0" fontId="33" fillId="0" borderId="32" xfId="1" applyFont="1" applyFill="1" applyBorder="1" applyAlignment="1" applyProtection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6" fontId="5" fillId="0" borderId="33" xfId="3" applyFont="1" applyFill="1" applyBorder="1" applyAlignment="1">
      <alignment horizontal="center" vertical="center"/>
    </xf>
    <xf numFmtId="166" fontId="8" fillId="0" borderId="33" xfId="3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66" fontId="6" fillId="0" borderId="33" xfId="3" applyFont="1" applyBorder="1" applyAlignment="1">
      <alignment vertical="center"/>
    </xf>
    <xf numFmtId="167" fontId="5" fillId="0" borderId="7" xfId="3" applyNumberFormat="1" applyFont="1" applyBorder="1" applyAlignment="1">
      <alignment horizontal="center" vertical="center"/>
    </xf>
    <xf numFmtId="166" fontId="8" fillId="0" borderId="1" xfId="3" applyFont="1" applyFill="1" applyBorder="1" applyAlignment="1">
      <alignment vertical="center"/>
    </xf>
    <xf numFmtId="166" fontId="3" fillId="0" borderId="2" xfId="3" applyFont="1" applyBorder="1" applyAlignment="1">
      <alignment horizontal="center" vertical="center"/>
    </xf>
    <xf numFmtId="166" fontId="3" fillId="0" borderId="33" xfId="3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6" fontId="3" fillId="0" borderId="33" xfId="3" applyFont="1" applyBorder="1"/>
    <xf numFmtId="166" fontId="3" fillId="0" borderId="1" xfId="3" applyFont="1" applyBorder="1" applyAlignment="1">
      <alignment horizontal="center" vertical="center"/>
    </xf>
    <xf numFmtId="166" fontId="3" fillId="0" borderId="1" xfId="3" applyNumberFormat="1" applyFont="1" applyFill="1" applyBorder="1" applyAlignment="1">
      <alignment vertical="center"/>
    </xf>
    <xf numFmtId="166" fontId="3" fillId="0" borderId="1" xfId="3" applyFont="1" applyBorder="1" applyAlignment="1">
      <alignment vertical="center"/>
    </xf>
    <xf numFmtId="166" fontId="14" fillId="2" borderId="4" xfId="3" applyFont="1" applyFill="1" applyBorder="1" applyAlignment="1">
      <alignment horizontal="center" vertical="center"/>
    </xf>
    <xf numFmtId="166" fontId="14" fillId="2" borderId="29" xfId="3" applyFont="1" applyFill="1" applyBorder="1" applyAlignment="1">
      <alignment horizontal="center" vertical="center"/>
    </xf>
    <xf numFmtId="0" fontId="19" fillId="0" borderId="0" xfId="10" applyFont="1"/>
    <xf numFmtId="0" fontId="19" fillId="0" borderId="0" xfId="10" applyFont="1" applyAlignment="1">
      <alignment horizontal="center"/>
    </xf>
    <xf numFmtId="0" fontId="25" fillId="0" borderId="0" xfId="10" applyFont="1"/>
    <xf numFmtId="0" fontId="19" fillId="0" borderId="1" xfId="10" applyFont="1" applyFill="1" applyBorder="1"/>
    <xf numFmtId="0" fontId="19" fillId="0" borderId="1" xfId="10" applyFont="1" applyFill="1" applyBorder="1" applyAlignment="1">
      <alignment horizontal="center" wrapText="1"/>
    </xf>
    <xf numFmtId="0" fontId="25" fillId="0" borderId="1" xfId="10" applyFont="1" applyFill="1" applyBorder="1"/>
    <xf numFmtId="0" fontId="25" fillId="3" borderId="1" xfId="10" applyFont="1" applyFill="1" applyBorder="1" applyAlignment="1">
      <alignment horizontal="center"/>
    </xf>
    <xf numFmtId="9" fontId="25" fillId="3" borderId="1" xfId="2" applyFont="1" applyFill="1" applyBorder="1" applyAlignment="1">
      <alignment horizontal="center"/>
    </xf>
    <xf numFmtId="0" fontId="25" fillId="0" borderId="1" xfId="10" applyFont="1" applyFill="1" applyBorder="1" applyAlignment="1">
      <alignment horizontal="center"/>
    </xf>
    <xf numFmtId="166" fontId="25" fillId="0" borderId="1" xfId="3" applyFont="1" applyFill="1" applyBorder="1" applyAlignment="1">
      <alignment horizontal="center"/>
    </xf>
    <xf numFmtId="168" fontId="25" fillId="0" borderId="1" xfId="3" applyNumberFormat="1" applyFont="1" applyFill="1" applyBorder="1" applyAlignment="1">
      <alignment horizontal="center"/>
    </xf>
    <xf numFmtId="164" fontId="25" fillId="0" borderId="0" xfId="10" applyNumberFormat="1" applyFont="1"/>
    <xf numFmtId="168" fontId="19" fillId="0" borderId="1" xfId="3" applyNumberFormat="1" applyFont="1" applyFill="1" applyBorder="1" applyAlignment="1">
      <alignment horizontal="center"/>
    </xf>
    <xf numFmtId="166" fontId="19" fillId="10" borderId="1" xfId="3" applyFont="1" applyFill="1" applyBorder="1" applyAlignment="1">
      <alignment horizontal="center"/>
    </xf>
    <xf numFmtId="0" fontId="25" fillId="0" borderId="0" xfId="10" applyFont="1" applyAlignment="1">
      <alignment horizontal="center"/>
    </xf>
    <xf numFmtId="166" fontId="25" fillId="3" borderId="1" xfId="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6" fontId="5" fillId="0" borderId="32" xfId="3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166" fontId="3" fillId="0" borderId="0" xfId="3" applyFont="1" applyAlignment="1">
      <alignment vertical="center"/>
    </xf>
    <xf numFmtId="166" fontId="5" fillId="0" borderId="14" xfId="3" applyFont="1" applyBorder="1" applyAlignment="1">
      <alignment horizontal="center" vertical="center"/>
    </xf>
    <xf numFmtId="166" fontId="5" fillId="0" borderId="4" xfId="3" applyFont="1" applyBorder="1" applyAlignment="1">
      <alignment horizontal="right" vertical="center"/>
    </xf>
    <xf numFmtId="166" fontId="8" fillId="0" borderId="1" xfId="3" applyNumberFormat="1" applyFont="1" applyBorder="1" applyAlignment="1">
      <alignment vertical="center"/>
    </xf>
    <xf numFmtId="10" fontId="20" fillId="11" borderId="15" xfId="0" applyNumberFormat="1" applyFont="1" applyFill="1" applyBorder="1" applyAlignment="1">
      <alignment horizontal="right" vertical="center"/>
    </xf>
    <xf numFmtId="166" fontId="3" fillId="0" borderId="1" xfId="3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66" fontId="5" fillId="2" borderId="7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5" fillId="10" borderId="4" xfId="3" applyFont="1" applyFill="1" applyBorder="1" applyAlignment="1">
      <alignment vertical="center"/>
    </xf>
    <xf numFmtId="166" fontId="3" fillId="0" borderId="11" xfId="3" applyFont="1" applyBorder="1" applyAlignment="1">
      <alignment vertical="center"/>
    </xf>
    <xf numFmtId="166" fontId="3" fillId="0" borderId="0" xfId="3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0" fontId="3" fillId="0" borderId="0" xfId="2" applyNumberFormat="1" applyFont="1" applyBorder="1" applyAlignment="1">
      <alignment vertical="center"/>
    </xf>
    <xf numFmtId="166" fontId="5" fillId="4" borderId="3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6" fontId="8" fillId="0" borderId="3" xfId="3" applyFont="1" applyBorder="1" applyAlignment="1">
      <alignment horizontal="center" vertical="center"/>
    </xf>
    <xf numFmtId="166" fontId="3" fillId="0" borderId="0" xfId="3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6" fontId="8" fillId="0" borderId="2" xfId="3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6" fontId="14" fillId="2" borderId="28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0" fillId="0" borderId="6" xfId="1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48" xfId="11" applyFont="1" applyBorder="1" applyAlignment="1">
      <alignment vertical="center"/>
    </xf>
    <xf numFmtId="164" fontId="0" fillId="0" borderId="4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8" xfId="11" applyFont="1" applyBorder="1" applyAlignment="1">
      <alignment vertical="center"/>
    </xf>
    <xf numFmtId="166" fontId="3" fillId="0" borderId="49" xfId="3" applyFont="1" applyBorder="1" applyAlignment="1">
      <alignment vertical="center"/>
    </xf>
    <xf numFmtId="10" fontId="5" fillId="11" borderId="7" xfId="2" applyNumberFormat="1" applyFont="1" applyFill="1" applyBorder="1" applyAlignment="1">
      <alignment vertical="center"/>
    </xf>
    <xf numFmtId="1" fontId="3" fillId="4" borderId="15" xfId="3" applyNumberFormat="1" applyFont="1" applyFill="1" applyBorder="1" applyAlignment="1">
      <alignment horizontal="center" vertical="center"/>
    </xf>
    <xf numFmtId="1" fontId="8" fillId="4" borderId="26" xfId="3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66" fontId="3" fillId="4" borderId="15" xfId="3" applyFont="1" applyFill="1" applyBorder="1" applyAlignment="1">
      <alignment horizontal="center" vertical="center"/>
    </xf>
    <xf numFmtId="1" fontId="8" fillId="4" borderId="49" xfId="0" applyNumberFormat="1" applyFont="1" applyFill="1" applyBorder="1" applyAlignment="1">
      <alignment horizontal="center" vertical="center"/>
    </xf>
    <xf numFmtId="166" fontId="3" fillId="4" borderId="1" xfId="3" applyFont="1" applyFill="1" applyBorder="1" applyAlignment="1">
      <alignment horizontal="center" vertical="center"/>
    </xf>
    <xf numFmtId="1" fontId="5" fillId="4" borderId="26" xfId="3" applyNumberFormat="1" applyFont="1" applyFill="1" applyBorder="1" applyAlignment="1">
      <alignment horizontal="center" vertical="center"/>
    </xf>
    <xf numFmtId="166" fontId="5" fillId="4" borderId="26" xfId="3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6" fontId="8" fillId="4" borderId="2" xfId="3" applyFont="1" applyFill="1" applyBorder="1" applyAlignment="1">
      <alignment horizontal="center" vertical="center"/>
    </xf>
    <xf numFmtId="166" fontId="8" fillId="4" borderId="1" xfId="3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6" fontId="5" fillId="4" borderId="0" xfId="3" applyFont="1" applyFill="1" applyBorder="1" applyAlignment="1">
      <alignment horizontal="center" vertical="center"/>
    </xf>
    <xf numFmtId="166" fontId="5" fillId="4" borderId="1" xfId="3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6" fontId="5" fillId="4" borderId="8" xfId="3" applyFont="1" applyFill="1" applyBorder="1" applyAlignment="1">
      <alignment horizontal="center" vertical="center"/>
    </xf>
    <xf numFmtId="1" fontId="8" fillId="4" borderId="1" xfId="3" applyNumberFormat="1" applyFont="1" applyFill="1" applyBorder="1" applyAlignment="1">
      <alignment horizontal="center" vertical="center"/>
    </xf>
    <xf numFmtId="166" fontId="8" fillId="4" borderId="0" xfId="3" applyFont="1" applyFill="1" applyBorder="1" applyAlignment="1">
      <alignment horizontal="right" vertical="center"/>
    </xf>
    <xf numFmtId="166" fontId="8" fillId="4" borderId="1" xfId="3" applyFont="1" applyFill="1" applyBorder="1" applyAlignment="1">
      <alignment vertical="center"/>
    </xf>
    <xf numFmtId="167" fontId="8" fillId="4" borderId="1" xfId="3" applyNumberFormat="1" applyFont="1" applyFill="1" applyBorder="1" applyAlignment="1">
      <alignment horizontal="center" vertical="center"/>
    </xf>
    <xf numFmtId="166" fontId="8" fillId="4" borderId="0" xfId="3" applyFont="1" applyFill="1" applyBorder="1" applyAlignment="1">
      <alignment vertical="center"/>
    </xf>
    <xf numFmtId="166" fontId="8" fillId="4" borderId="1" xfId="3" applyNumberFormat="1" applyFont="1" applyFill="1" applyBorder="1" applyAlignment="1">
      <alignment vertical="center"/>
    </xf>
    <xf numFmtId="166" fontId="3" fillId="4" borderId="2" xfId="3" applyFont="1" applyFill="1" applyBorder="1" applyAlignment="1">
      <alignment horizontal="center" vertical="center"/>
    </xf>
    <xf numFmtId="167" fontId="3" fillId="4" borderId="1" xfId="3" applyNumberFormat="1" applyFont="1" applyFill="1" applyBorder="1" applyAlignment="1">
      <alignment vertical="center"/>
    </xf>
    <xf numFmtId="166" fontId="3" fillId="4" borderId="1" xfId="3" applyNumberFormat="1" applyFont="1" applyFill="1" applyBorder="1" applyAlignment="1">
      <alignment horizontal="center" vertical="center"/>
    </xf>
    <xf numFmtId="9" fontId="3" fillId="4" borderId="1" xfId="2" applyFont="1" applyFill="1" applyBorder="1" applyAlignment="1">
      <alignment vertical="center"/>
    </xf>
    <xf numFmtId="166" fontId="3" fillId="4" borderId="1" xfId="3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1" xfId="3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1" xfId="3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6" fontId="5" fillId="4" borderId="39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horizontal="center" vertical="center"/>
    </xf>
    <xf numFmtId="168" fontId="8" fillId="4" borderId="2" xfId="3" applyNumberFormat="1" applyFont="1" applyFill="1" applyBorder="1" applyAlignment="1">
      <alignment horizontal="center" vertical="center"/>
    </xf>
    <xf numFmtId="167" fontId="3" fillId="4" borderId="1" xfId="3" applyNumberFormat="1" applyFont="1" applyFill="1" applyBorder="1" applyAlignment="1">
      <alignment horizontal="center" vertical="center"/>
    </xf>
    <xf numFmtId="168" fontId="3" fillId="4" borderId="2" xfId="3" applyNumberFormat="1" applyFont="1" applyFill="1" applyBorder="1" applyAlignment="1">
      <alignment horizontal="center" vertical="center"/>
    </xf>
    <xf numFmtId="168" fontId="8" fillId="4" borderId="1" xfId="3" applyNumberFormat="1" applyFont="1" applyFill="1" applyBorder="1" applyAlignment="1">
      <alignment horizontal="center" vertical="center"/>
    </xf>
    <xf numFmtId="167" fontId="5" fillId="4" borderId="1" xfId="3" applyNumberFormat="1" applyFont="1" applyFill="1" applyBorder="1" applyAlignment="1">
      <alignment horizontal="center" vertical="center"/>
    </xf>
    <xf numFmtId="168" fontId="5" fillId="4" borderId="1" xfId="3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166" fontId="3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6" fontId="5" fillId="4" borderId="3" xfId="3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3" fontId="8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6" fontId="13" fillId="4" borderId="1" xfId="3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8" fillId="0" borderId="0" xfId="0" applyNumberFormat="1" applyFont="1" applyAlignment="1">
      <alignment vertical="center"/>
    </xf>
    <xf numFmtId="166" fontId="5" fillId="0" borderId="50" xfId="3" applyFont="1" applyBorder="1" applyAlignment="1">
      <alignment horizontal="center" vertical="center"/>
    </xf>
    <xf numFmtId="164" fontId="0" fillId="0" borderId="51" xfId="0" applyNumberFormat="1" applyBorder="1" applyAlignment="1">
      <alignment vertical="center"/>
    </xf>
    <xf numFmtId="164" fontId="0" fillId="0" borderId="51" xfId="11" applyFont="1" applyBorder="1" applyAlignment="1">
      <alignment vertical="center"/>
    </xf>
    <xf numFmtId="164" fontId="0" fillId="0" borderId="52" xfId="11" applyFont="1" applyBorder="1" applyAlignment="1">
      <alignment vertical="center"/>
    </xf>
    <xf numFmtId="164" fontId="0" fillId="0" borderId="53" xfId="11" applyFont="1" applyBorder="1" applyAlignment="1">
      <alignment vertical="center"/>
    </xf>
    <xf numFmtId="164" fontId="0" fillId="0" borderId="47" xfId="11" applyFont="1" applyBorder="1" applyAlignment="1">
      <alignment vertical="center"/>
    </xf>
    <xf numFmtId="164" fontId="0" fillId="0" borderId="7" xfId="11" applyFont="1" applyBorder="1" applyAlignment="1">
      <alignment vertical="center"/>
    </xf>
    <xf numFmtId="166" fontId="5" fillId="0" borderId="54" xfId="3" applyFont="1" applyBorder="1" applyAlignment="1">
      <alignment horizontal="center" vertical="center" wrapText="1"/>
    </xf>
    <xf numFmtId="169" fontId="5" fillId="0" borderId="55" xfId="0" applyNumberFormat="1" applyFont="1" applyBorder="1" applyAlignment="1">
      <alignment vertical="center"/>
    </xf>
    <xf numFmtId="169" fontId="0" fillId="0" borderId="55" xfId="0" applyNumberFormat="1" applyBorder="1" applyAlignment="1">
      <alignment vertical="center"/>
    </xf>
    <xf numFmtId="169" fontId="5" fillId="0" borderId="56" xfId="0" applyNumberFormat="1" applyFont="1" applyBorder="1" applyAlignment="1">
      <alignment vertical="center"/>
    </xf>
    <xf numFmtId="165" fontId="5" fillId="10" borderId="4" xfId="0" applyNumberFormat="1" applyFont="1" applyFill="1" applyBorder="1" applyAlignment="1">
      <alignment vertical="center"/>
    </xf>
    <xf numFmtId="166" fontId="5" fillId="0" borderId="54" xfId="3" applyFont="1" applyBorder="1" applyAlignment="1">
      <alignment horizontal="center" vertical="center"/>
    </xf>
    <xf numFmtId="10" fontId="5" fillId="0" borderId="55" xfId="2" applyNumberFormat="1" applyFont="1" applyBorder="1" applyAlignment="1">
      <alignment vertical="center"/>
    </xf>
    <xf numFmtId="10" fontId="0" fillId="0" borderId="55" xfId="2" applyNumberFormat="1" applyFont="1" applyBorder="1" applyAlignment="1">
      <alignment vertical="center"/>
    </xf>
    <xf numFmtId="10" fontId="8" fillId="0" borderId="55" xfId="2" applyNumberFormat="1" applyFont="1" applyBorder="1" applyAlignment="1">
      <alignment vertical="center"/>
    </xf>
    <xf numFmtId="10" fontId="5" fillId="0" borderId="56" xfId="2" applyNumberFormat="1" applyFont="1" applyBorder="1" applyAlignment="1">
      <alignment vertical="center"/>
    </xf>
    <xf numFmtId="10" fontId="5" fillId="0" borderId="4" xfId="2" applyNumberFormat="1" applyFont="1" applyBorder="1" applyAlignment="1">
      <alignment vertical="center"/>
    </xf>
    <xf numFmtId="166" fontId="8" fillId="12" borderId="1" xfId="3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170" fontId="0" fillId="0" borderId="0" xfId="2" applyNumberFormat="1" applyFont="1" applyAlignment="1">
      <alignment vertical="center"/>
    </xf>
    <xf numFmtId="166" fontId="8" fillId="3" borderId="2" xfId="3" applyFont="1" applyFill="1" applyBorder="1" applyAlignment="1">
      <alignment horizontal="center" vertical="center"/>
    </xf>
    <xf numFmtId="166" fontId="8" fillId="0" borderId="2" xfId="3" applyFont="1" applyFill="1" applyBorder="1" applyAlignment="1">
      <alignment horizontal="center" vertical="center"/>
    </xf>
    <xf numFmtId="166" fontId="3" fillId="3" borderId="2" xfId="3" applyFont="1" applyFill="1" applyBorder="1" applyAlignment="1">
      <alignment horizontal="center" vertical="center"/>
    </xf>
    <xf numFmtId="166" fontId="6" fillId="7" borderId="5" xfId="3" applyFont="1" applyFill="1" applyBorder="1" applyAlignment="1">
      <alignment horizontal="center" vertical="center"/>
    </xf>
    <xf numFmtId="166" fontId="6" fillId="7" borderId="6" xfId="3" applyFont="1" applyFill="1" applyBorder="1" applyAlignment="1">
      <alignment horizontal="center" vertical="center"/>
    </xf>
    <xf numFmtId="166" fontId="6" fillId="7" borderId="7" xfId="3" applyFont="1" applyFill="1" applyBorder="1" applyAlignment="1">
      <alignment horizontal="center" vertical="center"/>
    </xf>
    <xf numFmtId="0" fontId="30" fillId="0" borderId="5" xfId="4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0" fontId="30" fillId="0" borderId="7" xfId="4" applyFont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166" fontId="3" fillId="0" borderId="0" xfId="3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</cellXfs>
  <cellStyles count="12">
    <cellStyle name="Hiperlink" xfId="1" builtinId="8"/>
    <cellStyle name="Normal" xfId="0" builtinId="0"/>
    <cellStyle name="Normal 2" xfId="7"/>
    <cellStyle name="Normal 3" xfId="4"/>
    <cellStyle name="Normal 4" xfId="10"/>
    <cellStyle name="Porcentagem" xfId="2" builtinId="5"/>
    <cellStyle name="Porcentagem 2" xfId="8"/>
    <cellStyle name="Porcentagem 3" xfId="9"/>
    <cellStyle name="Separador de milhares 3" xfId="5"/>
    <cellStyle name="Vírgula" xfId="3" builtinId="3"/>
    <cellStyle name="Vírgula 2" xfId="6"/>
    <cellStyle name="Vírgula 3" xfId="11"/>
  </cellStyles>
  <dxfs count="0"/>
  <tableStyles count="0" defaultTableStyle="TableStyleMedium2" defaultPivotStyle="PivotStyleLight16"/>
  <colors>
    <mruColors>
      <color rgb="FFFF66FF"/>
      <color rgb="FF66FFFF"/>
      <color rgb="FF00FF00"/>
      <color rgb="FFFFFF99"/>
      <color rgb="FFFF33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7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7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3"/>
  <sheetViews>
    <sheetView tabSelected="1" view="pageBreakPreview" topLeftCell="A288" zoomScaleNormal="100" zoomScaleSheetLayoutView="100" workbookViewId="0">
      <selection activeCell="E152" sqref="E152"/>
    </sheetView>
  </sheetViews>
  <sheetFormatPr defaultRowHeight="12.75" x14ac:dyDescent="0.2"/>
  <cols>
    <col min="1" max="1" width="45" style="6" customWidth="1"/>
    <col min="2" max="2" width="15.5703125" style="6" customWidth="1"/>
    <col min="3" max="3" width="12.85546875" style="6" bestFit="1" customWidth="1"/>
    <col min="4" max="4" width="14.7109375" style="7" customWidth="1"/>
    <col min="5" max="5" width="15.42578125" style="7" customWidth="1"/>
    <col min="6" max="6" width="13.28515625" style="7" customWidth="1"/>
    <col min="7" max="9" width="9.140625" style="6"/>
    <col min="10" max="10" width="12.7109375" style="6" bestFit="1" customWidth="1"/>
    <col min="11" max="16384" width="9.140625" style="6"/>
  </cols>
  <sheetData>
    <row r="1" spans="1:10" s="177" customFormat="1" ht="23.25" customHeight="1" thickBot="1" x14ac:dyDescent="0.25">
      <c r="A1" s="383" t="s">
        <v>191</v>
      </c>
      <c r="B1" s="384"/>
      <c r="C1" s="384"/>
      <c r="D1" s="384"/>
      <c r="E1" s="384"/>
      <c r="F1" s="385"/>
    </row>
    <row r="2" spans="1:10" s="5" customFormat="1" ht="18" x14ac:dyDescent="0.2">
      <c r="A2" s="386" t="s">
        <v>322</v>
      </c>
      <c r="B2" s="387"/>
      <c r="C2" s="387"/>
      <c r="D2" s="387"/>
      <c r="E2" s="387"/>
      <c r="F2" s="388"/>
    </row>
    <row r="3" spans="1:10" s="2" customFormat="1" ht="10.9" customHeight="1" thickBot="1" x14ac:dyDescent="0.25">
      <c r="A3" s="67"/>
      <c r="B3" s="68"/>
      <c r="C3" s="68"/>
      <c r="D3" s="69"/>
      <c r="E3" s="69"/>
      <c r="F3" s="70"/>
    </row>
    <row r="4" spans="1:10" s="2" customFormat="1" ht="15.75" customHeight="1" thickBot="1" x14ac:dyDescent="0.25">
      <c r="A4" s="380" t="s">
        <v>147</v>
      </c>
      <c r="B4" s="381"/>
      <c r="C4" s="381"/>
      <c r="D4" s="381"/>
      <c r="E4" s="381"/>
      <c r="F4" s="382"/>
    </row>
    <row r="5" spans="1:10" s="2" customFormat="1" ht="25.5" x14ac:dyDescent="0.2">
      <c r="A5" s="356" t="s">
        <v>146</v>
      </c>
      <c r="B5" s="357"/>
      <c r="C5" s="358"/>
      <c r="D5" s="359"/>
      <c r="E5" s="363" t="s">
        <v>241</v>
      </c>
      <c r="F5" s="368" t="s">
        <v>242</v>
      </c>
    </row>
    <row r="6" spans="1:10" s="8" customFormat="1" ht="15.75" customHeight="1" x14ac:dyDescent="0.2">
      <c r="A6" s="58" t="str">
        <f>A55</f>
        <v>1. Mão-de-obra</v>
      </c>
      <c r="B6" s="294"/>
      <c r="C6" s="295"/>
      <c r="D6" s="360"/>
      <c r="E6" s="364">
        <f>SUM(E7:E14)</f>
        <v>3536.1200000000003</v>
      </c>
      <c r="F6" s="369">
        <f>SUM(F7:F14)</f>
        <v>9.5399999999999985E-2</v>
      </c>
    </row>
    <row r="7" spans="1:10" s="2" customFormat="1" ht="15.75" customHeight="1" x14ac:dyDescent="0.2">
      <c r="A7" s="184" t="str">
        <f>A57</f>
        <v xml:space="preserve">1.1. Coletor Turno Dia </v>
      </c>
      <c r="B7" s="294"/>
      <c r="C7" s="295"/>
      <c r="D7" s="360"/>
      <c r="E7" s="365">
        <f>F70</f>
        <v>1213.3800000000001</v>
      </c>
      <c r="F7" s="370">
        <f>ROUND(IFERROR(E7/$E$38,0),4)+0.0003</f>
        <v>3.2899999999999999E-2</v>
      </c>
    </row>
    <row r="8" spans="1:10" s="2" customFormat="1" ht="15.75" customHeight="1" x14ac:dyDescent="0.2">
      <c r="A8" s="28" t="str">
        <f>A72</f>
        <v>1.2. Motoristas coletor</v>
      </c>
      <c r="B8" s="294"/>
      <c r="C8" s="295"/>
      <c r="D8" s="360"/>
      <c r="E8" s="365">
        <f>F85</f>
        <v>1549.46</v>
      </c>
      <c r="F8" s="370">
        <f t="shared" ref="F8:F15" si="0">ROUND(IFERROR(E8/$E$38,0),4)</f>
        <v>4.1700000000000001E-2</v>
      </c>
    </row>
    <row r="9" spans="1:10" s="2" customFormat="1" ht="15.75" customHeight="1" x14ac:dyDescent="0.2">
      <c r="A9" s="28" t="str">
        <f>A87</f>
        <v>1.3. Motoristas lavador</v>
      </c>
      <c r="B9" s="294"/>
      <c r="C9" s="295"/>
      <c r="D9" s="360"/>
      <c r="E9" s="365">
        <f>F100</f>
        <v>387.25</v>
      </c>
      <c r="F9" s="370">
        <f t="shared" si="0"/>
        <v>1.04E-2</v>
      </c>
    </row>
    <row r="10" spans="1:10" s="2" customFormat="1" ht="15.75" customHeight="1" x14ac:dyDescent="0.2">
      <c r="A10" s="28" t="str">
        <f>A101</f>
        <v>1.4. Vale Transporte</v>
      </c>
      <c r="B10" s="294"/>
      <c r="C10" s="295"/>
      <c r="D10" s="360"/>
      <c r="E10" s="365">
        <f>F107</f>
        <v>94.09</v>
      </c>
      <c r="F10" s="370">
        <f t="shared" si="0"/>
        <v>2.5000000000000001E-3</v>
      </c>
    </row>
    <row r="11" spans="1:10" s="2" customFormat="1" ht="15.75" customHeight="1" x14ac:dyDescent="0.2">
      <c r="A11" s="28" t="str">
        <f>A109</f>
        <v>1.5. Vale-refeição (diário)</v>
      </c>
      <c r="B11" s="294"/>
      <c r="C11" s="295"/>
      <c r="D11" s="360"/>
      <c r="E11" s="365">
        <f>F115</f>
        <v>238.32</v>
      </c>
      <c r="F11" s="370">
        <f t="shared" si="0"/>
        <v>6.4000000000000003E-3</v>
      </c>
    </row>
    <row r="12" spans="1:10" s="2" customFormat="1" ht="15.75" customHeight="1" x14ac:dyDescent="0.2">
      <c r="A12" s="28" t="str">
        <f>A117</f>
        <v>1.6. Auxílio Alimentação (mensal)</v>
      </c>
      <c r="B12" s="294"/>
      <c r="C12" s="295"/>
      <c r="D12" s="360"/>
      <c r="E12" s="365">
        <f>F121</f>
        <v>32.54</v>
      </c>
      <c r="F12" s="370">
        <f t="shared" si="0"/>
        <v>8.9999999999999998E-4</v>
      </c>
    </row>
    <row r="13" spans="1:10" s="2" customFormat="1" ht="15.75" customHeight="1" x14ac:dyDescent="0.2">
      <c r="A13" s="28" t="str">
        <f>A123</f>
        <v>1.7. Plano de Benefício Social Familiar (mensal)</v>
      </c>
      <c r="B13" s="294"/>
      <c r="C13" s="295"/>
      <c r="D13" s="360"/>
      <c r="E13" s="365">
        <f>F127</f>
        <v>11.71</v>
      </c>
      <c r="F13" s="370">
        <f t="shared" si="0"/>
        <v>2.9999999999999997E-4</v>
      </c>
    </row>
    <row r="14" spans="1:10" s="2" customFormat="1" ht="15.75" customHeight="1" x14ac:dyDescent="0.2">
      <c r="A14" s="28" t="str">
        <f>A129</f>
        <v>1.8. Seguro de vida</v>
      </c>
      <c r="B14" s="294"/>
      <c r="C14" s="295"/>
      <c r="D14" s="360"/>
      <c r="E14" s="365">
        <f>F132</f>
        <v>9.3699999999999992</v>
      </c>
      <c r="F14" s="370">
        <f t="shared" si="0"/>
        <v>2.9999999999999997E-4</v>
      </c>
    </row>
    <row r="15" spans="1:10" s="8" customFormat="1" ht="15.75" customHeight="1" x14ac:dyDescent="0.2">
      <c r="A15" s="58" t="str">
        <f>A136</f>
        <v>2. Uniformes e Equipamentos de Proteção Individual</v>
      </c>
      <c r="B15" s="294"/>
      <c r="C15" s="295"/>
      <c r="D15" s="360"/>
      <c r="E15" s="364">
        <f>F167</f>
        <v>246.05</v>
      </c>
      <c r="F15" s="369">
        <f t="shared" si="0"/>
        <v>6.6E-3</v>
      </c>
      <c r="J15" s="375"/>
    </row>
    <row r="16" spans="1:10" s="8" customFormat="1" ht="15.75" customHeight="1" x14ac:dyDescent="0.2">
      <c r="A16" s="186" t="str">
        <f>A169</f>
        <v>3. Veículos e Equipamentos</v>
      </c>
      <c r="B16" s="294"/>
      <c r="C16" s="295"/>
      <c r="D16" s="360"/>
      <c r="E16" s="364">
        <f>F346</f>
        <v>25281.4388</v>
      </c>
      <c r="F16" s="369">
        <f>+F17+F24+F31</f>
        <v>0.67979999999999996</v>
      </c>
      <c r="J16" s="375"/>
    </row>
    <row r="17" spans="1:10" s="2" customFormat="1" ht="15.75" customHeight="1" x14ac:dyDescent="0.2">
      <c r="A17" s="186" t="str">
        <f>A170</f>
        <v>3.1. Veículo Coletor Carga Lateral</v>
      </c>
      <c r="B17" s="294"/>
      <c r="C17" s="295"/>
      <c r="D17" s="360"/>
      <c r="E17" s="364">
        <f>SUM(E18:E23)</f>
        <v>9593.5187999999998</v>
      </c>
      <c r="F17" s="369">
        <f t="shared" ref="F17:F36" si="1">ROUND(IFERROR(E17/$E$38,0),4)</f>
        <v>0.25800000000000001</v>
      </c>
    </row>
    <row r="18" spans="1:10" s="2" customFormat="1" ht="15.75" customHeight="1" x14ac:dyDescent="0.2">
      <c r="A18" s="40" t="str">
        <f>A171</f>
        <v>3.1.1. Depreciação</v>
      </c>
      <c r="B18" s="294"/>
      <c r="C18" s="295"/>
      <c r="D18" s="360"/>
      <c r="E18" s="365">
        <f>F185</f>
        <v>2191.6</v>
      </c>
      <c r="F18" s="371">
        <f t="shared" si="1"/>
        <v>5.8900000000000001E-2</v>
      </c>
    </row>
    <row r="19" spans="1:10" s="2" customFormat="1" ht="15.75" customHeight="1" x14ac:dyDescent="0.2">
      <c r="A19" s="40" t="str">
        <f>A187</f>
        <v>3.1.2. Remuneração do Capital</v>
      </c>
      <c r="B19" s="294"/>
      <c r="C19" s="295"/>
      <c r="D19" s="360"/>
      <c r="E19" s="365">
        <f>F201</f>
        <v>2197.94</v>
      </c>
      <c r="F19" s="371">
        <f t="shared" si="1"/>
        <v>5.91E-2</v>
      </c>
    </row>
    <row r="20" spans="1:10" s="2" customFormat="1" ht="15.75" customHeight="1" x14ac:dyDescent="0.2">
      <c r="A20" s="40" t="str">
        <f>A202</f>
        <v>3.1.3. Impostos e Seguros</v>
      </c>
      <c r="B20" s="294"/>
      <c r="C20" s="295"/>
      <c r="D20" s="360"/>
      <c r="E20" s="365">
        <f>F208</f>
        <v>178.55</v>
      </c>
      <c r="F20" s="371">
        <f t="shared" si="1"/>
        <v>4.7999999999999996E-3</v>
      </c>
    </row>
    <row r="21" spans="1:10" s="2" customFormat="1" ht="15.75" customHeight="1" x14ac:dyDescent="0.2">
      <c r="A21" s="40" t="str">
        <f>A210</f>
        <v>3.1.4. Consumos</v>
      </c>
      <c r="B21" s="294"/>
      <c r="C21" s="295"/>
      <c r="D21" s="360"/>
      <c r="E21" s="365">
        <f>F227</f>
        <v>3275.88</v>
      </c>
      <c r="F21" s="371">
        <f t="shared" si="1"/>
        <v>8.8099999999999998E-2</v>
      </c>
    </row>
    <row r="22" spans="1:10" s="2" customFormat="1" ht="15.75" customHeight="1" x14ac:dyDescent="0.2">
      <c r="A22" s="40" t="str">
        <f>A229</f>
        <v>3.1.5. Manutenção</v>
      </c>
      <c r="B22" s="294"/>
      <c r="C22" s="295"/>
      <c r="D22" s="360"/>
      <c r="E22" s="365">
        <f>F233</f>
        <v>1280.3987999999999</v>
      </c>
      <c r="F22" s="371">
        <f t="shared" si="1"/>
        <v>3.44E-2</v>
      </c>
      <c r="J22" s="376"/>
    </row>
    <row r="23" spans="1:10" s="2" customFormat="1" ht="15.75" customHeight="1" x14ac:dyDescent="0.2">
      <c r="A23" s="40" t="str">
        <f>A235</f>
        <v>3.1.6. Pneus</v>
      </c>
      <c r="B23" s="294"/>
      <c r="C23" s="295"/>
      <c r="D23" s="360"/>
      <c r="E23" s="365">
        <f>F242</f>
        <v>469.15</v>
      </c>
      <c r="F23" s="371">
        <f t="shared" si="1"/>
        <v>1.26E-2</v>
      </c>
    </row>
    <row r="24" spans="1:10" s="8" customFormat="1" ht="15.75" customHeight="1" x14ac:dyDescent="0.2">
      <c r="A24" s="186" t="str">
        <f>A244</f>
        <v>3.2. Veículo Lavador Carga Lateral</v>
      </c>
      <c r="B24" s="294"/>
      <c r="C24" s="295"/>
      <c r="D24" s="360"/>
      <c r="E24" s="364">
        <f>SUM(E25:E30)</f>
        <v>2682.32</v>
      </c>
      <c r="F24" s="369">
        <f t="shared" si="1"/>
        <v>7.2099999999999997E-2</v>
      </c>
    </row>
    <row r="25" spans="1:10" s="2" customFormat="1" ht="15.75" customHeight="1" x14ac:dyDescent="0.2">
      <c r="A25" s="40" t="str">
        <f>A245</f>
        <v>3.2.1. Depreciação</v>
      </c>
      <c r="B25" s="294"/>
      <c r="C25" s="295"/>
      <c r="D25" s="360"/>
      <c r="E25" s="365">
        <f>F259</f>
        <v>765.12</v>
      </c>
      <c r="F25" s="371">
        <f t="shared" si="1"/>
        <v>2.06E-2</v>
      </c>
    </row>
    <row r="26" spans="1:10" s="2" customFormat="1" ht="15.75" customHeight="1" x14ac:dyDescent="0.2">
      <c r="A26" s="40" t="str">
        <f>A261</f>
        <v>3.2.2. Remuneração do Capital</v>
      </c>
      <c r="B26" s="294"/>
      <c r="C26" s="295"/>
      <c r="D26" s="360"/>
      <c r="E26" s="365">
        <f>F275</f>
        <v>767.34</v>
      </c>
      <c r="F26" s="371">
        <f t="shared" si="1"/>
        <v>2.06E-2</v>
      </c>
    </row>
    <row r="27" spans="1:10" s="2" customFormat="1" ht="15.75" customHeight="1" x14ac:dyDescent="0.2">
      <c r="A27" s="40" t="str">
        <f>A276</f>
        <v>3.2.3. Impostos e Seguros</v>
      </c>
      <c r="B27" s="294"/>
      <c r="C27" s="295"/>
      <c r="D27" s="360"/>
      <c r="E27" s="365">
        <f>F282</f>
        <v>42.44</v>
      </c>
      <c r="F27" s="371">
        <f t="shared" si="1"/>
        <v>1.1000000000000001E-3</v>
      </c>
    </row>
    <row r="28" spans="1:10" s="2" customFormat="1" ht="15.75" customHeight="1" x14ac:dyDescent="0.2">
      <c r="A28" s="40" t="str">
        <f>A284</f>
        <v>3.2.4. Consumos</v>
      </c>
      <c r="B28" s="294"/>
      <c r="C28" s="295"/>
      <c r="D28" s="360"/>
      <c r="E28" s="365">
        <f>F301</f>
        <v>760</v>
      </c>
      <c r="F28" s="371">
        <f t="shared" si="1"/>
        <v>2.0400000000000001E-2</v>
      </c>
    </row>
    <row r="29" spans="1:10" s="2" customFormat="1" ht="15.75" customHeight="1" x14ac:dyDescent="0.2">
      <c r="A29" s="40" t="str">
        <f>A303</f>
        <v>3.2.5. Manutenção</v>
      </c>
      <c r="B29" s="294"/>
      <c r="C29" s="295"/>
      <c r="D29" s="360"/>
      <c r="E29" s="365">
        <f>F307</f>
        <v>304</v>
      </c>
      <c r="F29" s="371">
        <f t="shared" si="1"/>
        <v>8.2000000000000007E-3</v>
      </c>
    </row>
    <row r="30" spans="1:10" s="2" customFormat="1" ht="15.75" customHeight="1" x14ac:dyDescent="0.2">
      <c r="A30" s="40" t="str">
        <f>A309</f>
        <v>3.2.6. Pneus</v>
      </c>
      <c r="B30" s="294"/>
      <c r="C30" s="295"/>
      <c r="D30" s="360"/>
      <c r="E30" s="365">
        <f>F316</f>
        <v>43.42</v>
      </c>
      <c r="F30" s="371">
        <f t="shared" si="1"/>
        <v>1.1999999999999999E-3</v>
      </c>
    </row>
    <row r="31" spans="1:10" s="2" customFormat="1" ht="15.75" customHeight="1" x14ac:dyDescent="0.2">
      <c r="A31" s="186" t="str">
        <f>A318</f>
        <v>3.3. Contêineres com carga lateral</v>
      </c>
      <c r="B31" s="294"/>
      <c r="C31" s="295"/>
      <c r="D31" s="360"/>
      <c r="E31" s="364">
        <f>SUM(E32:E34)</f>
        <v>13005.599999999999</v>
      </c>
      <c r="F31" s="369">
        <f t="shared" si="1"/>
        <v>0.34970000000000001</v>
      </c>
    </row>
    <row r="32" spans="1:10" s="2" customFormat="1" ht="15.75" customHeight="1" x14ac:dyDescent="0.2">
      <c r="A32" s="40" t="str">
        <f>A319</f>
        <v>3.3.1. Depreciação</v>
      </c>
      <c r="B32" s="294"/>
      <c r="C32" s="295"/>
      <c r="D32" s="360"/>
      <c r="E32" s="365">
        <f>F328</f>
        <v>7219.44</v>
      </c>
      <c r="F32" s="371">
        <f t="shared" si="1"/>
        <v>0.19409999999999999</v>
      </c>
    </row>
    <row r="33" spans="1:9" s="2" customFormat="1" ht="15.75" customHeight="1" x14ac:dyDescent="0.2">
      <c r="A33" s="40" t="str">
        <f>A330</f>
        <v>3.3.2. Remuneração do Capital</v>
      </c>
      <c r="B33" s="294"/>
      <c r="C33" s="295"/>
      <c r="D33" s="360"/>
      <c r="E33" s="365">
        <f>F339</f>
        <v>4661.16</v>
      </c>
      <c r="F33" s="371">
        <f t="shared" si="1"/>
        <v>0.12529999999999999</v>
      </c>
    </row>
    <row r="34" spans="1:9" s="2" customFormat="1" ht="15.75" customHeight="1" x14ac:dyDescent="0.2">
      <c r="A34" s="40" t="str">
        <f>A341</f>
        <v>3.3.3. Manutenção e reposição de contêiner</v>
      </c>
      <c r="B34" s="294"/>
      <c r="C34" s="295"/>
      <c r="D34" s="360"/>
      <c r="E34" s="365">
        <f>F344</f>
        <v>1125</v>
      </c>
      <c r="F34" s="371">
        <f t="shared" si="1"/>
        <v>3.0300000000000001E-2</v>
      </c>
      <c r="I34" s="2" t="s">
        <v>323</v>
      </c>
    </row>
    <row r="35" spans="1:9" s="8" customFormat="1" ht="15.75" customHeight="1" x14ac:dyDescent="0.2">
      <c r="A35" s="186" t="str">
        <f>A349</f>
        <v>4. Ferramentas e Materiais de Consumo</v>
      </c>
      <c r="B35" s="294"/>
      <c r="C35" s="295"/>
      <c r="D35" s="360"/>
      <c r="E35" s="364">
        <f>F360</f>
        <v>19.510000000000002</v>
      </c>
      <c r="F35" s="369">
        <f t="shared" si="1"/>
        <v>5.0000000000000001E-4</v>
      </c>
    </row>
    <row r="36" spans="1:9" s="8" customFormat="1" ht="15.75" customHeight="1" x14ac:dyDescent="0.2">
      <c r="A36" s="186" t="str">
        <f>A362</f>
        <v>5. Monitoramento da Frota</v>
      </c>
      <c r="B36" s="294"/>
      <c r="C36" s="295"/>
      <c r="D36" s="360"/>
      <c r="E36" s="364">
        <f>F379</f>
        <v>32.18</v>
      </c>
      <c r="F36" s="369">
        <f t="shared" si="1"/>
        <v>8.9999999999999998E-4</v>
      </c>
    </row>
    <row r="37" spans="1:9" s="8" customFormat="1" ht="15.75" customHeight="1" thickBot="1" x14ac:dyDescent="0.25">
      <c r="A37" s="256" t="str">
        <f>A384</f>
        <v xml:space="preserve">7. Benefícios e Despesas Indiretas - BDI </v>
      </c>
      <c r="B37" s="293"/>
      <c r="C37" s="292"/>
      <c r="D37" s="361"/>
      <c r="E37" s="366">
        <f>F390</f>
        <v>8073.67</v>
      </c>
      <c r="F37" s="372">
        <f t="shared" ref="F37" si="2">ROUND(IFERROR(E37/$E$38,0),4)</f>
        <v>0.21709999999999999</v>
      </c>
    </row>
    <row r="38" spans="1:9" s="2" customFormat="1" ht="15.75" customHeight="1" thickBot="1" x14ac:dyDescent="0.25">
      <c r="A38" s="26" t="s">
        <v>170</v>
      </c>
      <c r="B38" s="291"/>
      <c r="C38" s="290"/>
      <c r="D38" s="362"/>
      <c r="E38" s="367">
        <f>E6+E15+E16+E35+E36+E37</f>
        <v>37188.968800000002</v>
      </c>
      <c r="F38" s="373">
        <f>ROUND(SUM(F6+F15+F16+F35+F36+F37),2)</f>
        <v>1</v>
      </c>
      <c r="H38" s="354"/>
    </row>
    <row r="39" spans="1:9" ht="13.5" thickBot="1" x14ac:dyDescent="0.25">
      <c r="A39" s="192"/>
      <c r="B39" s="32"/>
      <c r="C39" s="32"/>
      <c r="D39" s="35"/>
      <c r="E39" s="35"/>
      <c r="F39" s="61"/>
    </row>
    <row r="40" spans="1:9" s="2" customFormat="1" ht="15" customHeight="1" thickBot="1" x14ac:dyDescent="0.25">
      <c r="A40" s="380" t="s">
        <v>74</v>
      </c>
      <c r="B40" s="381"/>
      <c r="C40" s="381"/>
      <c r="D40" s="381"/>
      <c r="E40" s="382"/>
      <c r="F40" s="61"/>
    </row>
    <row r="41" spans="1:9" s="2" customFormat="1" ht="15" customHeight="1" thickBot="1" x14ac:dyDescent="0.25">
      <c r="A41" s="149" t="s">
        <v>29</v>
      </c>
      <c r="B41" s="18"/>
      <c r="C41" s="18"/>
      <c r="D41" s="265" t="s">
        <v>30</v>
      </c>
      <c r="E41" s="264" t="s">
        <v>244</v>
      </c>
      <c r="F41" s="61"/>
    </row>
    <row r="42" spans="1:9" s="2" customFormat="1" ht="15" customHeight="1" x14ac:dyDescent="0.2">
      <c r="A42" s="42" t="str">
        <f>+A57</f>
        <v xml:space="preserve">1.1. Coletor Turno Dia </v>
      </c>
      <c r="B42" s="41"/>
      <c r="C42" s="41"/>
      <c r="D42" s="300">
        <f>C69</f>
        <v>1</v>
      </c>
      <c r="E42" s="301">
        <v>1397.27</v>
      </c>
      <c r="F42" s="61"/>
    </row>
    <row r="43" spans="1:9" s="2" customFormat="1" ht="15" customHeight="1" x14ac:dyDescent="0.2">
      <c r="A43" s="273" t="str">
        <f>A72</f>
        <v>1.2. Motoristas coletor</v>
      </c>
      <c r="B43" s="41"/>
      <c r="C43" s="41"/>
      <c r="D43" s="300">
        <v>1</v>
      </c>
      <c r="E43" s="301">
        <v>1784.28</v>
      </c>
      <c r="F43" s="61"/>
    </row>
    <row r="44" spans="1:9" s="2" customFormat="1" ht="15" customHeight="1" x14ac:dyDescent="0.2">
      <c r="A44" s="296" t="str">
        <f>A87</f>
        <v>1.3. Motoristas lavador</v>
      </c>
      <c r="B44" s="41"/>
      <c r="C44" s="41"/>
      <c r="D44" s="302">
        <f>C99</f>
        <v>1</v>
      </c>
      <c r="E44" s="303">
        <f>E43</f>
        <v>1784.28</v>
      </c>
      <c r="F44" s="61"/>
    </row>
    <row r="45" spans="1:9" s="2" customFormat="1" ht="15" customHeight="1" thickBot="1" x14ac:dyDescent="0.25">
      <c r="A45" s="44" t="s">
        <v>45</v>
      </c>
      <c r="B45" s="45"/>
      <c r="C45" s="45"/>
      <c r="D45" s="304">
        <f>SUM(D42:D44)</f>
        <v>3</v>
      </c>
      <c r="E45" s="305"/>
      <c r="F45" s="61"/>
    </row>
    <row r="46" spans="1:9" s="2" customFormat="1" ht="15" customHeight="1" thickBot="1" x14ac:dyDescent="0.25">
      <c r="A46" s="59"/>
      <c r="B46" s="60"/>
      <c r="C46" s="35"/>
      <c r="D46" s="35"/>
      <c r="E46" s="61"/>
      <c r="F46" s="61"/>
    </row>
    <row r="47" spans="1:9" s="2" customFormat="1" ht="15" customHeight="1" x14ac:dyDescent="0.2">
      <c r="A47" s="391" t="s">
        <v>44</v>
      </c>
      <c r="B47" s="392"/>
      <c r="C47" s="392"/>
      <c r="D47" s="392"/>
      <c r="E47" s="27" t="s">
        <v>30</v>
      </c>
      <c r="F47" s="193"/>
    </row>
    <row r="48" spans="1:9" s="2" customFormat="1" ht="15" customHeight="1" x14ac:dyDescent="0.2">
      <c r="A48" s="42" t="str">
        <f>A170</f>
        <v>3.1. Veículo Coletor Carga Lateral</v>
      </c>
      <c r="B48" s="41"/>
      <c r="C48" s="41"/>
      <c r="D48" s="148"/>
      <c r="E48" s="298">
        <f>C184</f>
        <v>1</v>
      </c>
      <c r="F48" s="193"/>
    </row>
    <row r="49" spans="1:7" s="2" customFormat="1" ht="15" customHeight="1" x14ac:dyDescent="0.2">
      <c r="A49" s="42" t="str">
        <f>A244</f>
        <v>3.2. Veículo Lavador Carga Lateral</v>
      </c>
      <c r="B49" s="41"/>
      <c r="C49" s="41"/>
      <c r="D49" s="148"/>
      <c r="E49" s="298">
        <f>C258</f>
        <v>1</v>
      </c>
      <c r="F49" s="193"/>
    </row>
    <row r="50" spans="1:7" s="2" customFormat="1" ht="15" customHeight="1" thickBot="1" x14ac:dyDescent="0.25">
      <c r="A50" s="180" t="str">
        <f>A318</f>
        <v>3.3. Contêineres com carga lateral</v>
      </c>
      <c r="B50" s="181"/>
      <c r="C50" s="181"/>
      <c r="D50" s="182"/>
      <c r="E50" s="299">
        <v>90</v>
      </c>
      <c r="F50" s="193"/>
    </row>
    <row r="51" spans="1:7" s="2" customFormat="1" ht="15" customHeight="1" thickBot="1" x14ac:dyDescent="0.25">
      <c r="A51" s="194"/>
      <c r="B51" s="35"/>
      <c r="C51" s="35"/>
      <c r="D51" s="32"/>
      <c r="E51" s="147"/>
      <c r="F51" s="193"/>
    </row>
    <row r="52" spans="1:7" s="8" customFormat="1" ht="15.75" customHeight="1" thickBot="1" x14ac:dyDescent="0.25">
      <c r="A52" s="149" t="s">
        <v>318</v>
      </c>
      <c r="B52" s="297">
        <v>0.33329999999999999</v>
      </c>
      <c r="C52" s="149" t="s">
        <v>319</v>
      </c>
      <c r="D52" s="17"/>
      <c r="E52" s="228"/>
      <c r="F52" s="195"/>
    </row>
    <row r="53" spans="1:7" s="8" customFormat="1" ht="15.75" customHeight="1" thickBot="1" x14ac:dyDescent="0.25">
      <c r="A53" s="149" t="s">
        <v>286</v>
      </c>
      <c r="B53" s="297">
        <v>8.3299999999999999E-2</v>
      </c>
      <c r="C53" s="149" t="s">
        <v>320</v>
      </c>
      <c r="D53" s="17"/>
      <c r="E53" s="228"/>
      <c r="F53" s="195"/>
    </row>
    <row r="54" spans="1:7" ht="13.15" customHeight="1" x14ac:dyDescent="0.2">
      <c r="A54" s="196"/>
      <c r="B54" s="32"/>
      <c r="C54" s="32"/>
      <c r="D54" s="35"/>
      <c r="E54" s="35"/>
      <c r="F54" s="61"/>
    </row>
    <row r="55" spans="1:7" ht="11.25" customHeight="1" x14ac:dyDescent="0.2">
      <c r="A55" s="196" t="s">
        <v>35</v>
      </c>
      <c r="B55" s="32"/>
      <c r="C55" s="32"/>
      <c r="D55" s="35"/>
      <c r="E55" s="35"/>
      <c r="F55" s="61"/>
    </row>
    <row r="56" spans="1:7" ht="11.25" customHeight="1" x14ac:dyDescent="0.2">
      <c r="A56" s="197"/>
      <c r="B56" s="32"/>
      <c r="C56" s="32"/>
      <c r="D56" s="35"/>
      <c r="E56" s="35"/>
      <c r="F56" s="61"/>
    </row>
    <row r="57" spans="1:7" ht="13.5" thickBot="1" x14ac:dyDescent="0.25">
      <c r="A57" s="197" t="s">
        <v>315</v>
      </c>
      <c r="B57" s="32"/>
      <c r="C57" s="32"/>
      <c r="D57" s="35"/>
      <c r="E57" s="35"/>
      <c r="F57" s="61"/>
    </row>
    <row r="58" spans="1:7" ht="13.5" thickBot="1" x14ac:dyDescent="0.25">
      <c r="A58" s="183" t="s">
        <v>48</v>
      </c>
      <c r="B58" s="37" t="s">
        <v>49</v>
      </c>
      <c r="C58" s="37" t="s">
        <v>30</v>
      </c>
      <c r="D58" s="38" t="s">
        <v>166</v>
      </c>
      <c r="E58" s="38" t="s">
        <v>50</v>
      </c>
      <c r="F58" s="39" t="s">
        <v>51</v>
      </c>
    </row>
    <row r="59" spans="1:7" x14ac:dyDescent="0.2">
      <c r="A59" s="202" t="s">
        <v>270</v>
      </c>
      <c r="B59" s="10" t="s">
        <v>6</v>
      </c>
      <c r="C59" s="306">
        <v>1</v>
      </c>
      <c r="D59" s="307">
        <f>E42</f>
        <v>1397.27</v>
      </c>
      <c r="E59" s="307">
        <f>C59*D59</f>
        <v>1397.27</v>
      </c>
      <c r="F59" s="61"/>
    </row>
    <row r="60" spans="1:7" x14ac:dyDescent="0.2">
      <c r="A60" s="202" t="s">
        <v>179</v>
      </c>
      <c r="B60" s="10" t="s">
        <v>6</v>
      </c>
      <c r="C60" s="306">
        <v>1</v>
      </c>
      <c r="D60" s="374">
        <v>1212</v>
      </c>
      <c r="E60" s="307"/>
      <c r="F60" s="61"/>
    </row>
    <row r="61" spans="1:7" x14ac:dyDescent="0.2">
      <c r="A61" s="203" t="s">
        <v>25</v>
      </c>
      <c r="B61" s="12" t="s">
        <v>0</v>
      </c>
      <c r="C61" s="309">
        <v>7.33</v>
      </c>
      <c r="D61" s="308">
        <f>D59/220*2</f>
        <v>12.702454545454545</v>
      </c>
      <c r="E61" s="308">
        <f>C61*D61</f>
        <v>93.108991818181821</v>
      </c>
      <c r="F61" s="61"/>
    </row>
    <row r="62" spans="1:7" x14ac:dyDescent="0.2">
      <c r="A62" s="203" t="s">
        <v>26</v>
      </c>
      <c r="B62" s="12" t="s">
        <v>0</v>
      </c>
      <c r="C62" s="309">
        <v>0</v>
      </c>
      <c r="D62" s="308">
        <f>D59/220*1.5</f>
        <v>9.5268409090909092</v>
      </c>
      <c r="E62" s="308">
        <f>C62*D62</f>
        <v>0</v>
      </c>
      <c r="F62" s="61"/>
    </row>
    <row r="63" spans="1:7" ht="13.15" customHeight="1" x14ac:dyDescent="0.2">
      <c r="A63" s="203" t="s">
        <v>153</v>
      </c>
      <c r="B63" s="12" t="s">
        <v>24</v>
      </c>
      <c r="C63" s="310"/>
      <c r="D63" s="308">
        <f>63/302*(SUM(E61:E62))</f>
        <v>19.423398955448526</v>
      </c>
      <c r="E63" s="308">
        <f>D63</f>
        <v>19.423398955448526</v>
      </c>
      <c r="F63" s="61"/>
    </row>
    <row r="64" spans="1:7" x14ac:dyDescent="0.2">
      <c r="A64" s="203" t="s">
        <v>152</v>
      </c>
      <c r="B64" s="12"/>
      <c r="C64" s="300">
        <v>2</v>
      </c>
      <c r="D64" s="308"/>
      <c r="E64" s="308"/>
      <c r="F64" s="61"/>
      <c r="G64" s="4" t="s">
        <v>323</v>
      </c>
    </row>
    <row r="65" spans="1:6" x14ac:dyDescent="0.2">
      <c r="A65" s="203" t="s">
        <v>1</v>
      </c>
      <c r="B65" s="12" t="s">
        <v>2</v>
      </c>
      <c r="C65" s="311">
        <v>40</v>
      </c>
      <c r="D65" s="308">
        <f>IF(C64=2,SUM(E59:E63),IF(C64=1,(SUM(E59:E63))*D60/D59,0))</f>
        <v>1509.8023907736301</v>
      </c>
      <c r="E65" s="308">
        <f>C65*D65/100</f>
        <v>603.92095630945198</v>
      </c>
      <c r="F65" s="61"/>
    </row>
    <row r="66" spans="1:6" s="8" customFormat="1" x14ac:dyDescent="0.2">
      <c r="A66" s="204" t="s">
        <v>3</v>
      </c>
      <c r="B66" s="187"/>
      <c r="C66" s="312"/>
      <c r="D66" s="313"/>
      <c r="E66" s="314">
        <f>SUM(E59:E65)</f>
        <v>2113.723347083082</v>
      </c>
      <c r="F66" s="205"/>
    </row>
    <row r="67" spans="1:6" x14ac:dyDescent="0.2">
      <c r="A67" s="203" t="s">
        <v>4</v>
      </c>
      <c r="B67" s="12" t="s">
        <v>2</v>
      </c>
      <c r="C67" s="303">
        <v>72.231660000000005</v>
      </c>
      <c r="D67" s="308">
        <f>E66</f>
        <v>2113.723347083082</v>
      </c>
      <c r="E67" s="308">
        <f>D67*C67/100</f>
        <v>1526.7774614056718</v>
      </c>
      <c r="F67" s="61"/>
    </row>
    <row r="68" spans="1:6" s="8" customFormat="1" x14ac:dyDescent="0.2">
      <c r="A68" s="204" t="s">
        <v>269</v>
      </c>
      <c r="B68" s="154"/>
      <c r="C68" s="315"/>
      <c r="D68" s="316"/>
      <c r="E68" s="314">
        <f>E66+E67</f>
        <v>3640.500808488754</v>
      </c>
      <c r="F68" s="205"/>
    </row>
    <row r="69" spans="1:6" ht="13.5" thickBot="1" x14ac:dyDescent="0.25">
      <c r="A69" s="203" t="s">
        <v>5</v>
      </c>
      <c r="B69" s="178" t="s">
        <v>314</v>
      </c>
      <c r="C69" s="317">
        <v>1</v>
      </c>
      <c r="D69" s="308">
        <f>E68</f>
        <v>3640.500808488754</v>
      </c>
      <c r="E69" s="308">
        <f>C69*D69</f>
        <v>3640.500808488754</v>
      </c>
      <c r="F69" s="61"/>
    </row>
    <row r="70" spans="1:6" ht="13.5" thickBot="1" x14ac:dyDescent="0.25">
      <c r="A70" s="201"/>
      <c r="B70" s="32"/>
      <c r="C70" s="310"/>
      <c r="D70" s="318" t="s">
        <v>143</v>
      </c>
      <c r="E70" s="319">
        <f>B52</f>
        <v>0.33329999999999999</v>
      </c>
      <c r="F70" s="57">
        <f>ROUND((E69*E70),2)</f>
        <v>1213.3800000000001</v>
      </c>
    </row>
    <row r="71" spans="1:6" ht="11.25" customHeight="1" x14ac:dyDescent="0.2">
      <c r="A71" s="201"/>
      <c r="B71" s="32"/>
      <c r="C71" s="32"/>
      <c r="D71" s="35"/>
      <c r="E71" s="35"/>
      <c r="F71" s="61"/>
    </row>
    <row r="72" spans="1:6" ht="13.5" thickBot="1" x14ac:dyDescent="0.25">
      <c r="A72" s="196" t="s">
        <v>316</v>
      </c>
      <c r="B72" s="32"/>
      <c r="C72" s="32"/>
      <c r="D72" s="35"/>
      <c r="E72" s="35"/>
      <c r="F72" s="61"/>
    </row>
    <row r="73" spans="1:6" s="9" customFormat="1" ht="13.15" customHeight="1" thickBot="1" x14ac:dyDescent="0.25">
      <c r="A73" s="36" t="s">
        <v>48</v>
      </c>
      <c r="B73" s="37" t="s">
        <v>49</v>
      </c>
      <c r="C73" s="37" t="s">
        <v>30</v>
      </c>
      <c r="D73" s="38" t="s">
        <v>166</v>
      </c>
      <c r="E73" s="38" t="s">
        <v>50</v>
      </c>
      <c r="F73" s="39" t="s">
        <v>51</v>
      </c>
    </row>
    <row r="74" spans="1:6" x14ac:dyDescent="0.2">
      <c r="A74" s="202" t="s">
        <v>321</v>
      </c>
      <c r="B74" s="10" t="s">
        <v>6</v>
      </c>
      <c r="C74" s="306">
        <v>1</v>
      </c>
      <c r="D74" s="307">
        <f>E43</f>
        <v>1784.28</v>
      </c>
      <c r="E74" s="307">
        <f>C74*D74</f>
        <v>1784.28</v>
      </c>
      <c r="F74" s="61"/>
    </row>
    <row r="75" spans="1:6" x14ac:dyDescent="0.2">
      <c r="A75" s="202" t="s">
        <v>274</v>
      </c>
      <c r="B75" s="10" t="s">
        <v>6</v>
      </c>
      <c r="C75" s="306">
        <v>1</v>
      </c>
      <c r="D75" s="308">
        <f>D60</f>
        <v>1212</v>
      </c>
      <c r="E75" s="307"/>
      <c r="F75" s="61"/>
    </row>
    <row r="76" spans="1:6" x14ac:dyDescent="0.2">
      <c r="A76" s="203" t="s">
        <v>25</v>
      </c>
      <c r="B76" s="12" t="s">
        <v>0</v>
      </c>
      <c r="C76" s="309">
        <v>7.33</v>
      </c>
      <c r="D76" s="308">
        <f>D74/220*2</f>
        <v>16.220727272727274</v>
      </c>
      <c r="E76" s="308">
        <f>C76*D76</f>
        <v>118.89793090909092</v>
      </c>
      <c r="F76" s="61"/>
    </row>
    <row r="77" spans="1:6" x14ac:dyDescent="0.2">
      <c r="A77" s="203" t="s">
        <v>26</v>
      </c>
      <c r="B77" s="12" t="s">
        <v>0</v>
      </c>
      <c r="C77" s="309">
        <v>0</v>
      </c>
      <c r="D77" s="308">
        <f>D74/220*1.5</f>
        <v>12.165545454545455</v>
      </c>
      <c r="E77" s="308">
        <f>C77*D77</f>
        <v>0</v>
      </c>
      <c r="F77" s="61"/>
    </row>
    <row r="78" spans="1:6" ht="13.15" customHeight="1" x14ac:dyDescent="0.2">
      <c r="A78" s="203" t="s">
        <v>153</v>
      </c>
      <c r="B78" s="12" t="s">
        <v>24</v>
      </c>
      <c r="C78" s="310"/>
      <c r="D78" s="308">
        <f>63/302*(SUM(E76:E77))</f>
        <v>24.803210752558702</v>
      </c>
      <c r="E78" s="308">
        <f>D78</f>
        <v>24.803210752558702</v>
      </c>
      <c r="F78" s="61"/>
    </row>
    <row r="79" spans="1:6" x14ac:dyDescent="0.2">
      <c r="A79" s="203" t="s">
        <v>152</v>
      </c>
      <c r="B79" s="12"/>
      <c r="C79" s="300">
        <v>2</v>
      </c>
      <c r="D79" s="308"/>
      <c r="E79" s="308"/>
      <c r="F79" s="61"/>
    </row>
    <row r="80" spans="1:6" x14ac:dyDescent="0.2">
      <c r="A80" s="203" t="s">
        <v>1</v>
      </c>
      <c r="B80" s="12" t="s">
        <v>2</v>
      </c>
      <c r="C80" s="311">
        <v>40</v>
      </c>
      <c r="D80" s="308">
        <f>IF(C79=2,SUM(E74:E78),IF(C79=1,(SUM(E74:E78))*D75/D74,0))</f>
        <v>1927.9811416616496</v>
      </c>
      <c r="E80" s="308">
        <f>C80*D80/100</f>
        <v>771.19245666465986</v>
      </c>
      <c r="F80" s="61"/>
    </row>
    <row r="81" spans="1:6" s="8" customFormat="1" x14ac:dyDescent="0.2">
      <c r="A81" s="204" t="s">
        <v>3</v>
      </c>
      <c r="B81" s="187"/>
      <c r="C81" s="312"/>
      <c r="D81" s="313"/>
      <c r="E81" s="314">
        <f>SUM(E74:E80)</f>
        <v>2699.1735983263097</v>
      </c>
      <c r="F81" s="205"/>
    </row>
    <row r="82" spans="1:6" x14ac:dyDescent="0.2">
      <c r="A82" s="203" t="s">
        <v>4</v>
      </c>
      <c r="B82" s="12" t="s">
        <v>2</v>
      </c>
      <c r="C82" s="303">
        <v>72.231660000000005</v>
      </c>
      <c r="D82" s="308">
        <f>E81</f>
        <v>2699.1735983263097</v>
      </c>
      <c r="E82" s="308">
        <f>D82*C82/100</f>
        <v>1949.6578963528259</v>
      </c>
      <c r="F82" s="61"/>
    </row>
    <row r="83" spans="1:6" s="8" customFormat="1" x14ac:dyDescent="0.2">
      <c r="A83" s="204" t="s">
        <v>269</v>
      </c>
      <c r="B83" s="154"/>
      <c r="C83" s="315"/>
      <c r="D83" s="316"/>
      <c r="E83" s="314">
        <f>E81+E82</f>
        <v>4648.8314946791361</v>
      </c>
      <c r="F83" s="205"/>
    </row>
    <row r="84" spans="1:6" ht="13.5" thickBot="1" x14ac:dyDescent="0.25">
      <c r="A84" s="203" t="s">
        <v>5</v>
      </c>
      <c r="B84" s="178" t="s">
        <v>314</v>
      </c>
      <c r="C84" s="317">
        <f>D43</f>
        <v>1</v>
      </c>
      <c r="D84" s="308">
        <f>E83</f>
        <v>4648.8314946791361</v>
      </c>
      <c r="E84" s="308">
        <f>C84*D84</f>
        <v>4648.8314946791361</v>
      </c>
      <c r="F84" s="61"/>
    </row>
    <row r="85" spans="1:6" ht="13.5" thickBot="1" x14ac:dyDescent="0.25">
      <c r="A85" s="192"/>
      <c r="B85" s="32"/>
      <c r="C85" s="310"/>
      <c r="D85" s="318" t="s">
        <v>143</v>
      </c>
      <c r="E85" s="319">
        <f>B52</f>
        <v>0.33329999999999999</v>
      </c>
      <c r="F85" s="57">
        <f>ROUND((E84*E85),2)</f>
        <v>1549.46</v>
      </c>
    </row>
    <row r="86" spans="1:6" ht="11.25" customHeight="1" x14ac:dyDescent="0.2">
      <c r="A86" s="192"/>
      <c r="B86" s="32"/>
      <c r="C86" s="32"/>
      <c r="D86" s="35"/>
      <c r="E86" s="35"/>
      <c r="F86" s="61"/>
    </row>
    <row r="87" spans="1:6" ht="13.5" thickBot="1" x14ac:dyDescent="0.25">
      <c r="A87" s="196" t="s">
        <v>317</v>
      </c>
      <c r="B87" s="32"/>
      <c r="C87" s="32"/>
      <c r="D87" s="35"/>
      <c r="E87" s="35"/>
      <c r="F87" s="61"/>
    </row>
    <row r="88" spans="1:6" ht="13.5" thickBot="1" x14ac:dyDescent="0.25">
      <c r="A88" s="36" t="s">
        <v>48</v>
      </c>
      <c r="B88" s="37" t="s">
        <v>49</v>
      </c>
      <c r="C88" s="37" t="s">
        <v>30</v>
      </c>
      <c r="D88" s="38" t="s">
        <v>166</v>
      </c>
      <c r="E88" s="38" t="s">
        <v>50</v>
      </c>
      <c r="F88" s="39" t="s">
        <v>51</v>
      </c>
    </row>
    <row r="89" spans="1:6" x14ac:dyDescent="0.2">
      <c r="A89" s="202" t="s">
        <v>321</v>
      </c>
      <c r="B89" s="10" t="s">
        <v>6</v>
      </c>
      <c r="C89" s="306">
        <v>1</v>
      </c>
      <c r="D89" s="307">
        <f>D74</f>
        <v>1784.28</v>
      </c>
      <c r="E89" s="11">
        <f>C89*D89</f>
        <v>1784.28</v>
      </c>
      <c r="F89" s="61"/>
    </row>
    <row r="90" spans="1:6" x14ac:dyDescent="0.2">
      <c r="A90" s="202" t="s">
        <v>274</v>
      </c>
      <c r="B90" s="10" t="s">
        <v>6</v>
      </c>
      <c r="C90" s="306">
        <v>1</v>
      </c>
      <c r="D90" s="308">
        <f>D75</f>
        <v>1212</v>
      </c>
      <c r="E90" s="11"/>
      <c r="F90" s="61"/>
    </row>
    <row r="91" spans="1:6" x14ac:dyDescent="0.2">
      <c r="A91" s="203" t="s">
        <v>25</v>
      </c>
      <c r="B91" s="12" t="s">
        <v>0</v>
      </c>
      <c r="C91" s="309">
        <v>7.33</v>
      </c>
      <c r="D91" s="308">
        <f>D89/220*2</f>
        <v>16.220727272727274</v>
      </c>
      <c r="E91" s="13">
        <f>C91*D91</f>
        <v>118.89793090909092</v>
      </c>
      <c r="F91" s="61"/>
    </row>
    <row r="92" spans="1:6" x14ac:dyDescent="0.2">
      <c r="A92" s="203" t="s">
        <v>26</v>
      </c>
      <c r="B92" s="12" t="s">
        <v>0</v>
      </c>
      <c r="C92" s="309">
        <v>0</v>
      </c>
      <c r="D92" s="308">
        <f>D89/220*1.5</f>
        <v>12.165545454545455</v>
      </c>
      <c r="E92" s="13">
        <f>C92*D92</f>
        <v>0</v>
      </c>
      <c r="F92" s="61"/>
    </row>
    <row r="93" spans="1:6" x14ac:dyDescent="0.2">
      <c r="A93" s="203" t="s">
        <v>153</v>
      </c>
      <c r="B93" s="12" t="s">
        <v>24</v>
      </c>
      <c r="C93" s="310"/>
      <c r="D93" s="308">
        <f>63/302*(SUM(E91:E92))</f>
        <v>24.803210752558702</v>
      </c>
      <c r="E93" s="13">
        <f>D93</f>
        <v>24.803210752558702</v>
      </c>
      <c r="F93" s="61"/>
    </row>
    <row r="94" spans="1:6" ht="11.25" customHeight="1" x14ac:dyDescent="0.2">
      <c r="A94" s="203" t="s">
        <v>152</v>
      </c>
      <c r="B94" s="12"/>
      <c r="C94" s="300">
        <v>2</v>
      </c>
      <c r="D94" s="308"/>
      <c r="E94" s="13"/>
      <c r="F94" s="61"/>
    </row>
    <row r="95" spans="1:6" x14ac:dyDescent="0.2">
      <c r="A95" s="203" t="s">
        <v>1</v>
      </c>
      <c r="B95" s="12" t="s">
        <v>2</v>
      </c>
      <c r="C95" s="311">
        <v>40</v>
      </c>
      <c r="D95" s="308">
        <f>IF(C94=2,SUM(E89:E93),IF(C94=1,(SUM(E89:E93))*D90/D89,0))</f>
        <v>1927.9811416616496</v>
      </c>
      <c r="E95" s="13">
        <f>C95*D95/100</f>
        <v>771.19245666465986</v>
      </c>
      <c r="F95" s="61"/>
    </row>
    <row r="96" spans="1:6" x14ac:dyDescent="0.2">
      <c r="A96" s="204" t="s">
        <v>3</v>
      </c>
      <c r="B96" s="187"/>
      <c r="C96" s="312"/>
      <c r="D96" s="313"/>
      <c r="E96" s="52">
        <f>SUM(E89:E95)</f>
        <v>2699.1735983263097</v>
      </c>
      <c r="F96" s="205"/>
    </row>
    <row r="97" spans="1:6" x14ac:dyDescent="0.2">
      <c r="A97" s="203" t="s">
        <v>4</v>
      </c>
      <c r="B97" s="12" t="s">
        <v>2</v>
      </c>
      <c r="C97" s="303">
        <v>72.231660000000005</v>
      </c>
      <c r="D97" s="308">
        <f>E96</f>
        <v>2699.1735983263097</v>
      </c>
      <c r="E97" s="13">
        <f>D97*C97/100</f>
        <v>1949.6578963528259</v>
      </c>
      <c r="F97" s="61"/>
    </row>
    <row r="98" spans="1:6" x14ac:dyDescent="0.2">
      <c r="A98" s="204" t="s">
        <v>269</v>
      </c>
      <c r="B98" s="154"/>
      <c r="C98" s="315"/>
      <c r="D98" s="316"/>
      <c r="E98" s="52">
        <f>E96+E97</f>
        <v>4648.8314946791361</v>
      </c>
      <c r="F98" s="205"/>
    </row>
    <row r="99" spans="1:6" ht="13.5" thickBot="1" x14ac:dyDescent="0.25">
      <c r="A99" s="203" t="s">
        <v>5</v>
      </c>
      <c r="B99" s="178" t="s">
        <v>314</v>
      </c>
      <c r="C99" s="317">
        <v>1</v>
      </c>
      <c r="D99" s="308">
        <f>E98</f>
        <v>4648.8314946791361</v>
      </c>
      <c r="E99" s="13">
        <f>C99*D99</f>
        <v>4648.8314946791361</v>
      </c>
      <c r="F99" s="61"/>
    </row>
    <row r="100" spans="1:6" ht="13.5" thickBot="1" x14ac:dyDescent="0.25">
      <c r="A100" s="192"/>
      <c r="B100" s="32"/>
      <c r="C100" s="32"/>
      <c r="D100" s="188" t="s">
        <v>143</v>
      </c>
      <c r="E100" s="29">
        <f>B53</f>
        <v>8.3299999999999999E-2</v>
      </c>
      <c r="F100" s="57">
        <f>ROUND((E99*E100),2)</f>
        <v>387.25</v>
      </c>
    </row>
    <row r="101" spans="1:6" ht="13.5" thickBot="1" x14ac:dyDescent="0.25">
      <c r="A101" s="196" t="s">
        <v>219</v>
      </c>
      <c r="B101" s="189"/>
      <c r="C101" s="32"/>
      <c r="D101" s="32"/>
      <c r="E101" s="32"/>
      <c r="F101" s="61"/>
    </row>
    <row r="102" spans="1:6" ht="13.5" thickBot="1" x14ac:dyDescent="0.25">
      <c r="A102" s="36" t="s">
        <v>48</v>
      </c>
      <c r="B102" s="37" t="s">
        <v>49</v>
      </c>
      <c r="C102" s="37" t="s">
        <v>30</v>
      </c>
      <c r="D102" s="38" t="s">
        <v>166</v>
      </c>
      <c r="E102" s="38" t="s">
        <v>50</v>
      </c>
      <c r="F102" s="39" t="s">
        <v>51</v>
      </c>
    </row>
    <row r="103" spans="1:6" x14ac:dyDescent="0.2">
      <c r="A103" s="203" t="s">
        <v>70</v>
      </c>
      <c r="B103" s="12" t="s">
        <v>24</v>
      </c>
      <c r="C103" s="320">
        <v>1</v>
      </c>
      <c r="D103" s="321">
        <v>4.55</v>
      </c>
      <c r="E103" s="13"/>
      <c r="F103" s="61"/>
    </row>
    <row r="104" spans="1:6" x14ac:dyDescent="0.2">
      <c r="A104" s="203" t="s">
        <v>71</v>
      </c>
      <c r="B104" s="12" t="s">
        <v>72</v>
      </c>
      <c r="C104" s="310">
        <v>26</v>
      </c>
      <c r="D104" s="308"/>
      <c r="E104" s="13"/>
      <c r="F104" s="61"/>
    </row>
    <row r="105" spans="1:6" x14ac:dyDescent="0.2">
      <c r="A105" s="207" t="s">
        <v>205</v>
      </c>
      <c r="B105" s="12" t="s">
        <v>7</v>
      </c>
      <c r="C105" s="322">
        <f>$C$104*2*(D42)*B52</f>
        <v>17.331599999999998</v>
      </c>
      <c r="D105" s="323">
        <f>IFERROR((($C$104*2*$D$103)-(E42*0.06*C$104/C$104))/($C$104*2),"-")</f>
        <v>2.9377653846153846</v>
      </c>
      <c r="E105" s="13">
        <f>IFERROR(C105*D105,"-")</f>
        <v>50.916174539999993</v>
      </c>
      <c r="F105" s="61"/>
    </row>
    <row r="106" spans="1:6" ht="13.5" thickBot="1" x14ac:dyDescent="0.25">
      <c r="A106" s="202" t="s">
        <v>217</v>
      </c>
      <c r="B106" s="10" t="s">
        <v>7</v>
      </c>
      <c r="C106" s="322">
        <f>$C$104*2*(D43)*B52</f>
        <v>17.331599999999998</v>
      </c>
      <c r="D106" s="323">
        <f>IFERROR((($C$104*2*$D$103)-(E43*0.06*C$104/C$104))/($C$104*2),"-")</f>
        <v>2.4912153846153848</v>
      </c>
      <c r="E106" s="11">
        <f>IFERROR(C106*D106,"-")</f>
        <v>43.17674856</v>
      </c>
      <c r="F106" s="61"/>
    </row>
    <row r="107" spans="1:6" ht="13.5" thickBot="1" x14ac:dyDescent="0.25">
      <c r="A107" s="192"/>
      <c r="B107" s="32"/>
      <c r="C107" s="32"/>
      <c r="D107" s="35"/>
      <c r="E107" s="35"/>
      <c r="F107" s="15">
        <f>ROUND(SUM(E105:E106),2)</f>
        <v>94.09</v>
      </c>
    </row>
    <row r="108" spans="1:6" x14ac:dyDescent="0.2">
      <c r="A108" s="192"/>
      <c r="B108" s="32"/>
      <c r="C108" s="32"/>
      <c r="D108" s="35"/>
      <c r="E108" s="35"/>
      <c r="F108" s="61"/>
    </row>
    <row r="109" spans="1:6" ht="13.5" thickBot="1" x14ac:dyDescent="0.25">
      <c r="A109" s="197" t="s">
        <v>220</v>
      </c>
      <c r="B109" s="32"/>
      <c r="C109" s="32"/>
      <c r="D109" s="35"/>
      <c r="E109" s="35"/>
      <c r="F109" s="208"/>
    </row>
    <row r="110" spans="1:6" ht="13.5" thickBot="1" x14ac:dyDescent="0.25">
      <c r="A110" s="36" t="s">
        <v>48</v>
      </c>
      <c r="B110" s="37" t="s">
        <v>49</v>
      </c>
      <c r="C110" s="37" t="s">
        <v>30</v>
      </c>
      <c r="D110" s="38" t="s">
        <v>166</v>
      </c>
      <c r="E110" s="38" t="s">
        <v>50</v>
      </c>
      <c r="F110" s="39" t="s">
        <v>51</v>
      </c>
    </row>
    <row r="111" spans="1:6" x14ac:dyDescent="0.2">
      <c r="A111" s="207" t="s">
        <v>53</v>
      </c>
      <c r="B111" s="178" t="s">
        <v>8</v>
      </c>
      <c r="C111" s="324">
        <f>C104*(D42)*B52</f>
        <v>8.6657999999999991</v>
      </c>
      <c r="D111" s="325">
        <v>18.2</v>
      </c>
      <c r="E111" s="29">
        <f>C111*D111</f>
        <v>157.71755999999996</v>
      </c>
      <c r="F111" s="208"/>
    </row>
    <row r="112" spans="1:6" x14ac:dyDescent="0.2">
      <c r="A112" s="207" t="s">
        <v>206</v>
      </c>
      <c r="B112" s="178" t="s">
        <v>2</v>
      </c>
      <c r="C112" s="326">
        <v>0.19</v>
      </c>
      <c r="D112" s="327">
        <f>-D111*C112</f>
        <v>-3.4579999999999997</v>
      </c>
      <c r="E112" s="29">
        <f>D112*C111</f>
        <v>-29.966336399999996</v>
      </c>
      <c r="F112" s="208"/>
    </row>
    <row r="113" spans="1:6" x14ac:dyDescent="0.2">
      <c r="A113" s="207" t="s">
        <v>214</v>
      </c>
      <c r="B113" s="178" t="s">
        <v>8</v>
      </c>
      <c r="C113" s="324">
        <f>C104*(D43)*(B52+B53)</f>
        <v>10.8316</v>
      </c>
      <c r="D113" s="325">
        <v>12.76</v>
      </c>
      <c r="E113" s="29">
        <f>C113*D113</f>
        <v>138.21121600000001</v>
      </c>
      <c r="F113" s="208"/>
    </row>
    <row r="114" spans="1:6" ht="13.5" thickBot="1" x14ac:dyDescent="0.25">
      <c r="A114" s="207" t="s">
        <v>206</v>
      </c>
      <c r="B114" s="178" t="s">
        <v>2</v>
      </c>
      <c r="C114" s="326">
        <v>0.2</v>
      </c>
      <c r="D114" s="327">
        <f>-D113*C114</f>
        <v>-2.552</v>
      </c>
      <c r="E114" s="29">
        <f>D114*C113</f>
        <v>-27.642243199999999</v>
      </c>
      <c r="F114" s="208"/>
    </row>
    <row r="115" spans="1:6" ht="13.5" thickBot="1" x14ac:dyDescent="0.25">
      <c r="A115" s="192"/>
      <c r="B115" s="32"/>
      <c r="C115" s="32"/>
      <c r="D115" s="35"/>
      <c r="E115" s="35"/>
      <c r="F115" s="15">
        <f>ROUND(SUM(E111:E114),2)</f>
        <v>238.32</v>
      </c>
    </row>
    <row r="116" spans="1:6" x14ac:dyDescent="0.2">
      <c r="A116" s="192"/>
      <c r="B116" s="32"/>
      <c r="C116" s="32"/>
      <c r="D116" s="35"/>
      <c r="E116" s="35"/>
      <c r="F116" s="61"/>
    </row>
    <row r="117" spans="1:6" ht="13.5" thickBot="1" x14ac:dyDescent="0.25">
      <c r="A117" s="196" t="s">
        <v>221</v>
      </c>
      <c r="B117" s="32"/>
      <c r="C117" s="32"/>
      <c r="D117" s="35"/>
      <c r="E117" s="35"/>
      <c r="F117" s="208"/>
    </row>
    <row r="118" spans="1:6" ht="13.5" thickBot="1" x14ac:dyDescent="0.25">
      <c r="A118" s="36" t="s">
        <v>48</v>
      </c>
      <c r="B118" s="37" t="s">
        <v>49</v>
      </c>
      <c r="C118" s="37" t="s">
        <v>30</v>
      </c>
      <c r="D118" s="38" t="s">
        <v>166</v>
      </c>
      <c r="E118" s="38" t="s">
        <v>50</v>
      </c>
      <c r="F118" s="39" t="s">
        <v>51</v>
      </c>
    </row>
    <row r="119" spans="1:6" x14ac:dyDescent="0.2">
      <c r="A119" s="207" t="s">
        <v>245</v>
      </c>
      <c r="B119" s="12" t="s">
        <v>8</v>
      </c>
      <c r="C119" s="324">
        <f>D43</f>
        <v>1</v>
      </c>
      <c r="D119" s="325">
        <v>96.84</v>
      </c>
      <c r="E119" s="29">
        <f t="shared" ref="E119" si="3">C119*D119</f>
        <v>96.84</v>
      </c>
      <c r="F119" s="208"/>
    </row>
    <row r="120" spans="1:6" ht="13.5" thickBot="1" x14ac:dyDescent="0.25">
      <c r="A120" s="203" t="str">
        <f>+A114</f>
        <v>Desconto previsto na CCT</v>
      </c>
      <c r="B120" s="178" t="s">
        <v>2</v>
      </c>
      <c r="C120" s="326">
        <v>0.2</v>
      </c>
      <c r="D120" s="327">
        <f>-D119*C120</f>
        <v>-19.368000000000002</v>
      </c>
      <c r="E120" s="29">
        <f>C119*D120</f>
        <v>-19.368000000000002</v>
      </c>
      <c r="F120" s="208"/>
    </row>
    <row r="121" spans="1:6" ht="13.5" thickBot="1" x14ac:dyDescent="0.25">
      <c r="A121" s="192"/>
      <c r="B121" s="32"/>
      <c r="C121" s="32"/>
      <c r="D121" s="188" t="s">
        <v>143</v>
      </c>
      <c r="E121" s="29">
        <v>0.42</v>
      </c>
      <c r="F121" s="15">
        <f>ROUND((SUM(E119:E120)*E121),2)</f>
        <v>32.54</v>
      </c>
    </row>
    <row r="122" spans="1:6" x14ac:dyDescent="0.2">
      <c r="A122" s="192"/>
      <c r="B122" s="32"/>
      <c r="C122" s="32"/>
      <c r="D122" s="35"/>
      <c r="E122" s="35"/>
      <c r="F122" s="61"/>
    </row>
    <row r="123" spans="1:6" ht="11.25" customHeight="1" thickBot="1" x14ac:dyDescent="0.25">
      <c r="A123" s="196" t="s">
        <v>222</v>
      </c>
      <c r="B123" s="32"/>
      <c r="C123" s="32"/>
      <c r="D123" s="35"/>
      <c r="E123" s="35"/>
      <c r="F123" s="208"/>
    </row>
    <row r="124" spans="1:6" ht="13.9" customHeight="1" thickBot="1" x14ac:dyDescent="0.25">
      <c r="A124" s="36" t="s">
        <v>48</v>
      </c>
      <c r="B124" s="37" t="s">
        <v>49</v>
      </c>
      <c r="C124" s="37" t="s">
        <v>30</v>
      </c>
      <c r="D124" s="38" t="s">
        <v>166</v>
      </c>
      <c r="E124" s="38" t="s">
        <v>50</v>
      </c>
      <c r="F124" s="39" t="s">
        <v>51</v>
      </c>
    </row>
    <row r="125" spans="1:6" x14ac:dyDescent="0.2">
      <c r="A125" s="203" t="str">
        <f>A111</f>
        <v>Coletor</v>
      </c>
      <c r="B125" s="12" t="s">
        <v>8</v>
      </c>
      <c r="C125" s="235">
        <f>D42*B52</f>
        <v>0.33329999999999999</v>
      </c>
      <c r="D125" s="236">
        <v>15.62</v>
      </c>
      <c r="E125" s="29">
        <f>C125*D125</f>
        <v>5.2061459999999995</v>
      </c>
      <c r="F125" s="208"/>
    </row>
    <row r="126" spans="1:6" ht="13.5" thickBot="1" x14ac:dyDescent="0.25">
      <c r="A126" s="199" t="str">
        <f>A113</f>
        <v>Motorista</v>
      </c>
      <c r="B126" s="12" t="s">
        <v>8</v>
      </c>
      <c r="C126" s="235">
        <f>D43*(B52+B53)</f>
        <v>0.41659999999999997</v>
      </c>
      <c r="D126" s="236">
        <f>D125</f>
        <v>15.62</v>
      </c>
      <c r="E126" s="29">
        <f>C126*D126</f>
        <v>6.5072919999999996</v>
      </c>
      <c r="F126" s="208"/>
    </row>
    <row r="127" spans="1:6" ht="13.15" customHeight="1" thickBot="1" x14ac:dyDescent="0.25">
      <c r="A127" s="192"/>
      <c r="B127" s="32"/>
      <c r="C127" s="32"/>
      <c r="D127" s="188" t="s">
        <v>143</v>
      </c>
      <c r="E127" s="29">
        <v>1</v>
      </c>
      <c r="F127" s="15">
        <f>ROUND((SUM(E125:E126)*E127),2)</f>
        <v>11.71</v>
      </c>
    </row>
    <row r="128" spans="1:6" x14ac:dyDescent="0.2">
      <c r="A128" s="192"/>
      <c r="B128" s="32"/>
      <c r="C128" s="32"/>
      <c r="D128" s="188"/>
      <c r="E128" s="35"/>
      <c r="F128" s="208"/>
    </row>
    <row r="129" spans="1:9" ht="13.9" customHeight="1" thickBot="1" x14ac:dyDescent="0.25">
      <c r="A129" s="196" t="s">
        <v>271</v>
      </c>
      <c r="B129" s="4"/>
      <c r="C129" s="4"/>
      <c r="D129" s="259"/>
      <c r="E129" s="259"/>
      <c r="F129" s="208"/>
    </row>
    <row r="130" spans="1:9" ht="13.15" customHeight="1" thickBot="1" x14ac:dyDescent="0.25">
      <c r="A130" s="36" t="s">
        <v>48</v>
      </c>
      <c r="B130" s="37" t="s">
        <v>49</v>
      </c>
      <c r="C130" s="37" t="s">
        <v>30</v>
      </c>
      <c r="D130" s="38" t="s">
        <v>166</v>
      </c>
      <c r="E130" s="38" t="s">
        <v>50</v>
      </c>
      <c r="F130" s="39" t="s">
        <v>51</v>
      </c>
    </row>
    <row r="131" spans="1:9" ht="13.15" customHeight="1" thickBot="1" x14ac:dyDescent="0.25">
      <c r="A131" s="202" t="s">
        <v>214</v>
      </c>
      <c r="B131" s="178" t="s">
        <v>8</v>
      </c>
      <c r="C131" s="268">
        <f>C126</f>
        <v>0.41659999999999997</v>
      </c>
      <c r="D131" s="303">
        <v>22.5</v>
      </c>
      <c r="E131" s="236">
        <f>C131*D131</f>
        <v>9.3734999999999999</v>
      </c>
      <c r="F131" s="208"/>
    </row>
    <row r="132" spans="1:9" ht="13.15" customHeight="1" thickBot="1" x14ac:dyDescent="0.25">
      <c r="A132" s="257"/>
      <c r="B132" s="4"/>
      <c r="C132" s="259"/>
      <c r="D132" s="2"/>
      <c r="E132" s="269"/>
      <c r="F132" s="15">
        <f>ROUND(SUM(E131:E131),2)</f>
        <v>9.3699999999999992</v>
      </c>
    </row>
    <row r="133" spans="1:9" ht="13.15" customHeight="1" thickBot="1" x14ac:dyDescent="0.25">
      <c r="A133" s="192"/>
      <c r="B133" s="32"/>
      <c r="C133" s="32"/>
      <c r="D133" s="188"/>
      <c r="E133" s="35"/>
      <c r="F133" s="208"/>
    </row>
    <row r="134" spans="1:9" ht="13.15" customHeight="1" thickBot="1" x14ac:dyDescent="0.25">
      <c r="A134" s="16" t="s">
        <v>73</v>
      </c>
      <c r="B134" s="17"/>
      <c r="C134" s="17"/>
      <c r="D134" s="18"/>
      <c r="E134" s="19"/>
      <c r="F134" s="15">
        <f>SUM(F56:F133)</f>
        <v>3536.1200000000003</v>
      </c>
      <c r="I134" s="355">
        <f>F132+F127+F121+F115+F107+F100+F85+F70</f>
        <v>3536.12</v>
      </c>
    </row>
    <row r="135" spans="1:9" ht="13.15" customHeight="1" x14ac:dyDescent="0.2">
      <c r="A135" s="192"/>
      <c r="B135" s="32"/>
      <c r="C135" s="32"/>
      <c r="D135" s="35"/>
      <c r="E135" s="35"/>
      <c r="F135" s="61"/>
    </row>
    <row r="136" spans="1:9" ht="13.15" customHeight="1" x14ac:dyDescent="0.2">
      <c r="A136" s="196" t="s">
        <v>33</v>
      </c>
      <c r="B136" s="32"/>
      <c r="C136" s="32"/>
      <c r="D136" s="35"/>
      <c r="E136" s="35"/>
      <c r="F136" s="61"/>
    </row>
    <row r="137" spans="1:9" x14ac:dyDescent="0.2">
      <c r="A137" s="192"/>
      <c r="B137" s="32"/>
      <c r="C137" s="32"/>
      <c r="D137" s="35"/>
      <c r="E137" s="35"/>
      <c r="F137" s="61"/>
    </row>
    <row r="138" spans="1:9" ht="13.5" thickBot="1" x14ac:dyDescent="0.25">
      <c r="A138" s="196" t="s">
        <v>215</v>
      </c>
      <c r="B138" s="32"/>
      <c r="C138" s="32"/>
      <c r="D138" s="35"/>
      <c r="E138" s="35"/>
      <c r="F138" s="61"/>
    </row>
    <row r="139" spans="1:9" ht="11.25" customHeight="1" thickBot="1" x14ac:dyDescent="0.25">
      <c r="A139" s="36" t="s">
        <v>48</v>
      </c>
      <c r="B139" s="37" t="s">
        <v>49</v>
      </c>
      <c r="C139" s="155" t="s">
        <v>172</v>
      </c>
      <c r="D139" s="38" t="s">
        <v>166</v>
      </c>
      <c r="E139" s="38" t="s">
        <v>50</v>
      </c>
      <c r="F139" s="39" t="s">
        <v>51</v>
      </c>
    </row>
    <row r="140" spans="1:9" ht="13.9" customHeight="1" x14ac:dyDescent="0.2">
      <c r="A140" s="198" t="s">
        <v>247</v>
      </c>
      <c r="B140" s="179" t="s">
        <v>8</v>
      </c>
      <c r="C140" s="328">
        <f>12/4</f>
        <v>3</v>
      </c>
      <c r="D140" s="323">
        <v>124.99</v>
      </c>
      <c r="E140" s="230">
        <f>IFERROR(D140/C140,0)</f>
        <v>41.663333333333334</v>
      </c>
      <c r="F140" s="231"/>
    </row>
    <row r="141" spans="1:9" x14ac:dyDescent="0.2">
      <c r="A141" s="214" t="s">
        <v>248</v>
      </c>
      <c r="B141" s="178" t="s">
        <v>8</v>
      </c>
      <c r="C141" s="329">
        <f>12/8</f>
        <v>1.5</v>
      </c>
      <c r="D141" s="323">
        <v>59</v>
      </c>
      <c r="E141" s="230">
        <f t="shared" ref="E141:E149" si="4">IFERROR(D141/C141,0)</f>
        <v>39.333333333333336</v>
      </c>
      <c r="F141" s="231"/>
    </row>
    <row r="142" spans="1:9" x14ac:dyDescent="0.2">
      <c r="A142" s="214" t="s">
        <v>249</v>
      </c>
      <c r="B142" s="178" t="s">
        <v>8</v>
      </c>
      <c r="C142" s="329">
        <f>12/8</f>
        <v>1.5</v>
      </c>
      <c r="D142" s="323">
        <v>33</v>
      </c>
      <c r="E142" s="230">
        <f t="shared" si="4"/>
        <v>22</v>
      </c>
      <c r="F142" s="231"/>
    </row>
    <row r="143" spans="1:9" x14ac:dyDescent="0.2">
      <c r="A143" s="214" t="s">
        <v>246</v>
      </c>
      <c r="B143" s="178" t="s">
        <v>36</v>
      </c>
      <c r="C143" s="329">
        <f>12/6</f>
        <v>2</v>
      </c>
      <c r="D143" s="323">
        <v>69</v>
      </c>
      <c r="E143" s="230">
        <f t="shared" si="4"/>
        <v>34.5</v>
      </c>
      <c r="F143" s="231"/>
    </row>
    <row r="144" spans="1:9" x14ac:dyDescent="0.2">
      <c r="A144" s="214" t="s">
        <v>251</v>
      </c>
      <c r="B144" s="178" t="s">
        <v>36</v>
      </c>
      <c r="C144" s="329">
        <f>12/8</f>
        <v>1.5</v>
      </c>
      <c r="D144" s="323">
        <v>10.42</v>
      </c>
      <c r="E144" s="230">
        <f t="shared" si="4"/>
        <v>6.9466666666666663</v>
      </c>
      <c r="F144" s="231"/>
    </row>
    <row r="145" spans="1:6" x14ac:dyDescent="0.2">
      <c r="A145" s="214" t="s">
        <v>252</v>
      </c>
      <c r="B145" s="178" t="s">
        <v>8</v>
      </c>
      <c r="C145" s="329">
        <f>12/1</f>
        <v>12</v>
      </c>
      <c r="D145" s="323">
        <v>139.9</v>
      </c>
      <c r="E145" s="230">
        <f t="shared" si="4"/>
        <v>11.658333333333333</v>
      </c>
      <c r="F145" s="231"/>
    </row>
    <row r="146" spans="1:6" x14ac:dyDescent="0.2">
      <c r="A146" s="214" t="s">
        <v>250</v>
      </c>
      <c r="B146" s="178" t="s">
        <v>8</v>
      </c>
      <c r="C146" s="329">
        <f>12/2</f>
        <v>6</v>
      </c>
      <c r="D146" s="323">
        <v>21.5</v>
      </c>
      <c r="E146" s="230">
        <f>IFERROR(D146/C146,0)</f>
        <v>3.5833333333333335</v>
      </c>
      <c r="F146" s="231"/>
    </row>
    <row r="147" spans="1:6" x14ac:dyDescent="0.2">
      <c r="A147" s="214" t="s">
        <v>253</v>
      </c>
      <c r="B147" s="232" t="s">
        <v>8</v>
      </c>
      <c r="C147" s="329">
        <f>12/4</f>
        <v>3</v>
      </c>
      <c r="D147" s="323">
        <v>10.8</v>
      </c>
      <c r="E147" s="230">
        <f t="shared" si="4"/>
        <v>3.6</v>
      </c>
      <c r="F147" s="233"/>
    </row>
    <row r="148" spans="1:6" x14ac:dyDescent="0.2">
      <c r="A148" s="214" t="s">
        <v>254</v>
      </c>
      <c r="B148" s="178" t="s">
        <v>36</v>
      </c>
      <c r="C148" s="329">
        <f>12/8</f>
        <v>1.5</v>
      </c>
      <c r="D148" s="323">
        <v>7.9</v>
      </c>
      <c r="E148" s="230">
        <f t="shared" si="4"/>
        <v>5.2666666666666666</v>
      </c>
      <c r="F148" s="231"/>
    </row>
    <row r="149" spans="1:6" x14ac:dyDescent="0.2">
      <c r="A149" s="214" t="s">
        <v>255</v>
      </c>
      <c r="B149" s="178" t="s">
        <v>37</v>
      </c>
      <c r="C149" s="329">
        <f>12/4</f>
        <v>3</v>
      </c>
      <c r="D149" s="323">
        <v>12.5</v>
      </c>
      <c r="E149" s="230">
        <f t="shared" si="4"/>
        <v>4.166666666666667</v>
      </c>
      <c r="F149" s="231"/>
    </row>
    <row r="150" spans="1:6" x14ac:dyDescent="0.2">
      <c r="A150" s="214" t="s">
        <v>144</v>
      </c>
      <c r="B150" s="271" t="s">
        <v>89</v>
      </c>
      <c r="C150" s="330">
        <v>1</v>
      </c>
      <c r="D150" s="323">
        <v>206.94</v>
      </c>
      <c r="E150" s="234">
        <f t="shared" ref="E150:E151" si="5">C150*D150</f>
        <v>206.94</v>
      </c>
      <c r="F150" s="231"/>
    </row>
    <row r="151" spans="1:6" ht="13.5" thickBot="1" x14ac:dyDescent="0.25">
      <c r="A151" s="203" t="s">
        <v>5</v>
      </c>
      <c r="B151" s="12" t="str">
        <f>B84</f>
        <v>homem</v>
      </c>
      <c r="C151" s="300">
        <f>D42</f>
        <v>1</v>
      </c>
      <c r="D151" s="314">
        <f>+SUM(E140:E150)</f>
        <v>379.6583333333333</v>
      </c>
      <c r="E151" s="52">
        <f t="shared" si="5"/>
        <v>379.6583333333333</v>
      </c>
      <c r="F151" s="61"/>
    </row>
    <row r="152" spans="1:6" ht="11.25" customHeight="1" thickBot="1" x14ac:dyDescent="0.25">
      <c r="A152" s="192"/>
      <c r="B152" s="32"/>
      <c r="C152" s="32"/>
      <c r="D152" s="188" t="s">
        <v>143</v>
      </c>
      <c r="E152" s="29">
        <f>E70</f>
        <v>0.33329999999999999</v>
      </c>
      <c r="F152" s="270">
        <f>ROUND((E151*E152),2)</f>
        <v>126.54</v>
      </c>
    </row>
    <row r="153" spans="1:6" x14ac:dyDescent="0.2">
      <c r="A153" s="192"/>
      <c r="B153" s="32"/>
      <c r="C153" s="32"/>
      <c r="D153" s="35"/>
      <c r="E153" s="35"/>
      <c r="F153" s="61"/>
    </row>
    <row r="154" spans="1:6" ht="11.25" customHeight="1" thickBot="1" x14ac:dyDescent="0.25">
      <c r="A154" s="196" t="s">
        <v>218</v>
      </c>
      <c r="B154" s="32"/>
      <c r="C154" s="32"/>
      <c r="D154" s="35"/>
      <c r="E154" s="35"/>
      <c r="F154" s="61"/>
    </row>
    <row r="155" spans="1:6" ht="24.75" thickBot="1" x14ac:dyDescent="0.25">
      <c r="A155" s="36" t="s">
        <v>48</v>
      </c>
      <c r="B155" s="37" t="s">
        <v>49</v>
      </c>
      <c r="C155" s="155" t="s">
        <v>172</v>
      </c>
      <c r="D155" s="38" t="s">
        <v>166</v>
      </c>
      <c r="E155" s="38" t="s">
        <v>50</v>
      </c>
      <c r="F155" s="39" t="s">
        <v>51</v>
      </c>
    </row>
    <row r="156" spans="1:6" x14ac:dyDescent="0.2">
      <c r="A156" s="198" t="s">
        <v>256</v>
      </c>
      <c r="B156" s="10" t="s">
        <v>8</v>
      </c>
      <c r="C156" s="331">
        <f>12/2</f>
        <v>6</v>
      </c>
      <c r="D156" s="323">
        <f>D140</f>
        <v>124.99</v>
      </c>
      <c r="E156" s="11">
        <f>IFERROR(D156/C156,0)</f>
        <v>20.831666666666667</v>
      </c>
      <c r="F156" s="61"/>
    </row>
    <row r="157" spans="1:6" x14ac:dyDescent="0.2">
      <c r="A157" s="214" t="s">
        <v>257</v>
      </c>
      <c r="B157" s="12" t="s">
        <v>8</v>
      </c>
      <c r="C157" s="332">
        <f>12/4</f>
        <v>3</v>
      </c>
      <c r="D157" s="323">
        <f>D141</f>
        <v>59</v>
      </c>
      <c r="E157" s="11">
        <f t="shared" ref="E157:E162" si="6">IFERROR(D157/C157,0)</f>
        <v>19.666666666666668</v>
      </c>
      <c r="F157" s="61"/>
    </row>
    <row r="158" spans="1:6" x14ac:dyDescent="0.2">
      <c r="A158" s="214" t="s">
        <v>258</v>
      </c>
      <c r="B158" s="12" t="s">
        <v>8</v>
      </c>
      <c r="C158" s="332">
        <f>12/4</f>
        <v>3</v>
      </c>
      <c r="D158" s="323">
        <f>D142</f>
        <v>33</v>
      </c>
      <c r="E158" s="11">
        <f t="shared" si="6"/>
        <v>11</v>
      </c>
      <c r="F158" s="61"/>
    </row>
    <row r="159" spans="1:6" x14ac:dyDescent="0.2">
      <c r="A159" s="214" t="s">
        <v>259</v>
      </c>
      <c r="B159" s="178" t="s">
        <v>49</v>
      </c>
      <c r="C159" s="332">
        <f>12/3</f>
        <v>4</v>
      </c>
      <c r="D159" s="323">
        <f>D143</f>
        <v>69</v>
      </c>
      <c r="E159" s="11">
        <f t="shared" si="6"/>
        <v>17.25</v>
      </c>
      <c r="F159" s="61"/>
    </row>
    <row r="160" spans="1:6" x14ac:dyDescent="0.2">
      <c r="A160" s="214" t="s">
        <v>252</v>
      </c>
      <c r="B160" s="12" t="s">
        <v>36</v>
      </c>
      <c r="C160" s="332">
        <f>12/2</f>
        <v>6</v>
      </c>
      <c r="D160" s="323">
        <f>D145</f>
        <v>139.9</v>
      </c>
      <c r="E160" s="11">
        <f t="shared" si="6"/>
        <v>23.316666666666666</v>
      </c>
      <c r="F160" s="61"/>
    </row>
    <row r="161" spans="1:6" x14ac:dyDescent="0.2">
      <c r="A161" s="214" t="s">
        <v>260</v>
      </c>
      <c r="B161" s="12" t="s">
        <v>8</v>
      </c>
      <c r="C161" s="332">
        <f>12/1</f>
        <v>12</v>
      </c>
      <c r="D161" s="323">
        <f>D146</f>
        <v>21.5</v>
      </c>
      <c r="E161" s="11">
        <f>IFERROR(D161/C161,0)</f>
        <v>1.7916666666666667</v>
      </c>
      <c r="F161" s="61"/>
    </row>
    <row r="162" spans="1:6" x14ac:dyDescent="0.2">
      <c r="A162" s="214" t="s">
        <v>255</v>
      </c>
      <c r="B162" s="12" t="s">
        <v>37</v>
      </c>
      <c r="C162" s="332">
        <f>12/4</f>
        <v>3</v>
      </c>
      <c r="D162" s="323">
        <f>D149</f>
        <v>12.5</v>
      </c>
      <c r="E162" s="11">
        <f t="shared" si="6"/>
        <v>4.166666666666667</v>
      </c>
      <c r="F162" s="61"/>
    </row>
    <row r="163" spans="1:6" x14ac:dyDescent="0.2">
      <c r="A163" s="199" t="s">
        <v>144</v>
      </c>
      <c r="B163" s="158" t="s">
        <v>89</v>
      </c>
      <c r="C163" s="300">
        <v>1</v>
      </c>
      <c r="D163" s="323">
        <v>186.52</v>
      </c>
      <c r="E163" s="13">
        <f t="shared" ref="E163:E164" si="7">C163*D163</f>
        <v>186.52</v>
      </c>
      <c r="F163" s="61"/>
    </row>
    <row r="164" spans="1:6" ht="13.5" thickBot="1" x14ac:dyDescent="0.25">
      <c r="A164" s="203" t="s">
        <v>5</v>
      </c>
      <c r="B164" s="12" t="str">
        <f>B151</f>
        <v>homem</v>
      </c>
      <c r="C164" s="300">
        <f>D43</f>
        <v>1</v>
      </c>
      <c r="D164" s="314">
        <f>+SUM(E156:E163)</f>
        <v>284.54333333333335</v>
      </c>
      <c r="E164" s="52">
        <f t="shared" si="7"/>
        <v>284.54333333333335</v>
      </c>
      <c r="F164" s="61"/>
    </row>
    <row r="165" spans="1:6" ht="13.5" thickBot="1" x14ac:dyDescent="0.25">
      <c r="A165" s="192"/>
      <c r="B165" s="32"/>
      <c r="C165" s="32"/>
      <c r="D165" s="188" t="s">
        <v>143</v>
      </c>
      <c r="E165" s="29">
        <v>0.42</v>
      </c>
      <c r="F165" s="57">
        <f>ROUND((E164*E165),2)</f>
        <v>119.51</v>
      </c>
    </row>
    <row r="166" spans="1:6" ht="13.5" thickBot="1" x14ac:dyDescent="0.25">
      <c r="A166" s="192"/>
      <c r="B166" s="32"/>
      <c r="C166" s="32"/>
      <c r="D166" s="32"/>
      <c r="E166" s="35"/>
      <c r="F166" s="61"/>
    </row>
    <row r="167" spans="1:6" ht="11.25" customHeight="1" thickBot="1" x14ac:dyDescent="0.25">
      <c r="A167" s="16" t="s">
        <v>145</v>
      </c>
      <c r="B167" s="20"/>
      <c r="C167" s="20"/>
      <c r="D167" s="21"/>
      <c r="E167" s="22"/>
      <c r="F167" s="14">
        <f>+F152+F165</f>
        <v>246.05</v>
      </c>
    </row>
    <row r="168" spans="1:6" x14ac:dyDescent="0.2">
      <c r="A168" s="192"/>
      <c r="B168" s="32"/>
      <c r="C168" s="32"/>
      <c r="D168" s="35"/>
      <c r="E168" s="35"/>
      <c r="F168" s="61"/>
    </row>
    <row r="169" spans="1:6" x14ac:dyDescent="0.2">
      <c r="A169" s="196" t="s">
        <v>42</v>
      </c>
      <c r="B169" s="32"/>
      <c r="C169" s="32"/>
      <c r="D169" s="35"/>
      <c r="E169" s="35"/>
      <c r="F169" s="61"/>
    </row>
    <row r="170" spans="1:6" x14ac:dyDescent="0.2">
      <c r="A170" s="197" t="s">
        <v>309</v>
      </c>
      <c r="B170" s="32"/>
      <c r="C170" s="32"/>
      <c r="D170" s="35"/>
      <c r="E170" s="35"/>
      <c r="F170" s="61"/>
    </row>
    <row r="171" spans="1:6" ht="13.5" thickBot="1" x14ac:dyDescent="0.25">
      <c r="A171" s="210" t="s">
        <v>34</v>
      </c>
      <c r="B171" s="32"/>
      <c r="C171" s="32"/>
      <c r="D171" s="35"/>
      <c r="E171" s="35"/>
      <c r="F171" s="61"/>
    </row>
    <row r="172" spans="1:6" ht="13.5" thickBot="1" x14ac:dyDescent="0.25">
      <c r="A172" s="36" t="s">
        <v>48</v>
      </c>
      <c r="B172" s="37" t="s">
        <v>49</v>
      </c>
      <c r="C172" s="37" t="s">
        <v>30</v>
      </c>
      <c r="D172" s="38" t="s">
        <v>166</v>
      </c>
      <c r="E172" s="38" t="s">
        <v>50</v>
      </c>
      <c r="F172" s="39" t="s">
        <v>51</v>
      </c>
    </row>
    <row r="173" spans="1:6" x14ac:dyDescent="0.2">
      <c r="A173" s="209" t="s">
        <v>78</v>
      </c>
      <c r="B173" s="10" t="s">
        <v>8</v>
      </c>
      <c r="C173" s="306">
        <v>1</v>
      </c>
      <c r="D173" s="377">
        <f>330000*1.0490256</f>
        <v>346178.44799999997</v>
      </c>
      <c r="E173" s="378">
        <f>C173*D173</f>
        <v>346178.44799999997</v>
      </c>
      <c r="F173" s="61"/>
    </row>
    <row r="174" spans="1:6" x14ac:dyDescent="0.2">
      <c r="A174" s="203" t="s">
        <v>75</v>
      </c>
      <c r="B174" s="12" t="s">
        <v>76</v>
      </c>
      <c r="C174" s="333">
        <v>10</v>
      </c>
      <c r="D174" s="308"/>
      <c r="E174" s="13"/>
      <c r="F174" s="61"/>
    </row>
    <row r="175" spans="1:6" x14ac:dyDescent="0.2">
      <c r="A175" s="203" t="s">
        <v>149</v>
      </c>
      <c r="B175" s="12" t="s">
        <v>76</v>
      </c>
      <c r="C175" s="333">
        <v>0</v>
      </c>
      <c r="D175" s="308"/>
      <c r="E175" s="13"/>
      <c r="F175" s="211"/>
    </row>
    <row r="176" spans="1:6" ht="11.25" customHeight="1" x14ac:dyDescent="0.2">
      <c r="A176" s="203" t="s">
        <v>77</v>
      </c>
      <c r="B176" s="12" t="s">
        <v>2</v>
      </c>
      <c r="C176" s="308">
        <v>65.180000000000007</v>
      </c>
      <c r="D176" s="308">
        <f>E173</f>
        <v>346178.44799999997</v>
      </c>
      <c r="E176" s="13">
        <f>C176*D176/100</f>
        <v>225639.1124064</v>
      </c>
      <c r="F176" s="61"/>
    </row>
    <row r="177" spans="1:6" ht="13.5" thickBot="1" x14ac:dyDescent="0.25">
      <c r="A177" s="212" t="s">
        <v>38</v>
      </c>
      <c r="B177" s="160" t="s">
        <v>6</v>
      </c>
      <c r="C177" s="334">
        <f>C174*12</f>
        <v>120</v>
      </c>
      <c r="D177" s="335">
        <f>IF(C175&lt;=C174,E176,0)</f>
        <v>225639.1124064</v>
      </c>
      <c r="E177" s="161">
        <f>IFERROR(D177/C177,0)</f>
        <v>1880.3259367200001</v>
      </c>
      <c r="F177" s="61"/>
    </row>
    <row r="178" spans="1:6" ht="13.5" thickTop="1" x14ac:dyDescent="0.2">
      <c r="A178" s="213" t="s">
        <v>275</v>
      </c>
      <c r="B178" s="10" t="s">
        <v>8</v>
      </c>
      <c r="C178" s="306">
        <f>C173</f>
        <v>1</v>
      </c>
      <c r="D178" s="307">
        <f>824000*1.0490256</f>
        <v>864397.09440000006</v>
      </c>
      <c r="E178" s="11">
        <f>C178*D178</f>
        <v>864397.09440000006</v>
      </c>
      <c r="F178" s="61"/>
    </row>
    <row r="179" spans="1:6" x14ac:dyDescent="0.2">
      <c r="A179" s="214" t="s">
        <v>276</v>
      </c>
      <c r="B179" s="12" t="s">
        <v>76</v>
      </c>
      <c r="C179" s="333">
        <v>10</v>
      </c>
      <c r="D179" s="308"/>
      <c r="E179" s="13"/>
      <c r="F179" s="61"/>
    </row>
    <row r="180" spans="1:6" x14ac:dyDescent="0.2">
      <c r="A180" s="214" t="s">
        <v>277</v>
      </c>
      <c r="B180" s="12" t="s">
        <v>76</v>
      </c>
      <c r="C180" s="333">
        <v>0</v>
      </c>
      <c r="D180" s="308"/>
      <c r="E180" s="13"/>
      <c r="F180" s="211"/>
    </row>
    <row r="181" spans="1:6" x14ac:dyDescent="0.2">
      <c r="A181" s="214" t="s">
        <v>278</v>
      </c>
      <c r="B181" s="12" t="s">
        <v>2</v>
      </c>
      <c r="C181" s="319">
        <f>IFERROR(VLOOKUP(C179,'5. Depreciação'!A$3:B$17,2,FALSE),0)</f>
        <v>65.180000000000007</v>
      </c>
      <c r="D181" s="308">
        <f>E178</f>
        <v>864397.09440000006</v>
      </c>
      <c r="E181" s="13">
        <f>C181*D181/100</f>
        <v>563414.02612992015</v>
      </c>
      <c r="F181" s="61"/>
    </row>
    <row r="182" spans="1:6" x14ac:dyDescent="0.2">
      <c r="A182" s="215" t="s">
        <v>279</v>
      </c>
      <c r="B182" s="51" t="s">
        <v>6</v>
      </c>
      <c r="C182" s="336">
        <f>C179*12</f>
        <v>120</v>
      </c>
      <c r="D182" s="314">
        <f>IF(C180&lt;=C179,E181,0)</f>
        <v>563414.02612992015</v>
      </c>
      <c r="E182" s="52">
        <f>IFERROR(D182/C182,0)</f>
        <v>4695.1168844160011</v>
      </c>
      <c r="F182" s="61"/>
    </row>
    <row r="183" spans="1:6" x14ac:dyDescent="0.2">
      <c r="A183" s="204" t="s">
        <v>280</v>
      </c>
      <c r="B183" s="154"/>
      <c r="C183" s="315"/>
      <c r="D183" s="316"/>
      <c r="E183" s="52">
        <f>E177+E182</f>
        <v>6575.4428211360009</v>
      </c>
      <c r="F183" s="61"/>
    </row>
    <row r="184" spans="1:6" ht="11.25" customHeight="1" thickBot="1" x14ac:dyDescent="0.25">
      <c r="A184" s="279" t="s">
        <v>175</v>
      </c>
      <c r="B184" s="51" t="s">
        <v>8</v>
      </c>
      <c r="C184" s="309">
        <v>1</v>
      </c>
      <c r="D184" s="314">
        <f>E183</f>
        <v>6575.4428211360009</v>
      </c>
      <c r="E184" s="52">
        <f>C184*D184</f>
        <v>6575.4428211360009</v>
      </c>
      <c r="F184" s="61"/>
    </row>
    <row r="185" spans="1:6" ht="13.5" thickBot="1" x14ac:dyDescent="0.25">
      <c r="A185" s="24"/>
      <c r="B185" s="187"/>
      <c r="C185" s="389" t="s">
        <v>143</v>
      </c>
      <c r="D185" s="390"/>
      <c r="E185" s="284">
        <f>B52</f>
        <v>0.33329999999999999</v>
      </c>
      <c r="F185" s="57">
        <f>ROUND(((E184)*E185),2)</f>
        <v>2191.6</v>
      </c>
    </row>
    <row r="186" spans="1:6" x14ac:dyDescent="0.2">
      <c r="A186" s="216"/>
      <c r="B186" s="156"/>
      <c r="C186" s="156"/>
      <c r="D186" s="188"/>
      <c r="E186" s="35"/>
      <c r="F186" s="61"/>
    </row>
    <row r="187" spans="1:6" ht="13.5" thickBot="1" x14ac:dyDescent="0.25">
      <c r="A187" s="210" t="s">
        <v>82</v>
      </c>
      <c r="B187" s="32"/>
      <c r="C187" s="32"/>
      <c r="D187" s="35"/>
      <c r="E187" s="35"/>
      <c r="F187" s="61"/>
    </row>
    <row r="188" spans="1:6" ht="13.5" thickBot="1" x14ac:dyDescent="0.25">
      <c r="A188" s="36" t="s">
        <v>48</v>
      </c>
      <c r="B188" s="37" t="s">
        <v>49</v>
      </c>
      <c r="C188" s="37" t="s">
        <v>30</v>
      </c>
      <c r="D188" s="38" t="s">
        <v>166</v>
      </c>
      <c r="E188" s="38" t="s">
        <v>50</v>
      </c>
      <c r="F188" s="39" t="s">
        <v>51</v>
      </c>
    </row>
    <row r="189" spans="1:6" x14ac:dyDescent="0.2">
      <c r="A189" s="209" t="s">
        <v>81</v>
      </c>
      <c r="B189" s="10" t="s">
        <v>8</v>
      </c>
      <c r="C189" s="157">
        <v>1</v>
      </c>
      <c r="D189" s="11">
        <f>D173</f>
        <v>346178.44799999997</v>
      </c>
      <c r="E189" s="11">
        <f>C189*D189</f>
        <v>346178.44799999997</v>
      </c>
      <c r="F189" s="211"/>
    </row>
    <row r="190" spans="1:6" x14ac:dyDescent="0.2">
      <c r="A190" s="203" t="s">
        <v>151</v>
      </c>
      <c r="B190" s="12" t="s">
        <v>2</v>
      </c>
      <c r="C190" s="309">
        <v>9.25</v>
      </c>
      <c r="D190" s="13"/>
      <c r="E190" s="13"/>
      <c r="F190" s="211"/>
    </row>
    <row r="191" spans="1:6" x14ac:dyDescent="0.2">
      <c r="A191" s="203" t="s">
        <v>150</v>
      </c>
      <c r="B191" s="12" t="s">
        <v>24</v>
      </c>
      <c r="C191" s="65">
        <f>IFERROR(IF(C175&lt;=C174,E173-(C176/(100*C174)*C175)*E173,E173-E176),0)</f>
        <v>346178.44799999997</v>
      </c>
      <c r="D191" s="13"/>
      <c r="E191" s="13"/>
      <c r="F191" s="211"/>
    </row>
    <row r="192" spans="1:6" x14ac:dyDescent="0.2">
      <c r="A192" s="203" t="s">
        <v>84</v>
      </c>
      <c r="B192" s="12" t="s">
        <v>24</v>
      </c>
      <c r="C192" s="49">
        <f>IFERROR(IF(C175&gt;=C174,C191,((((C191)-(E173-E176))*(((C174-C175)+1)/(2*(C174-C175))))+(E173-E176))),0)</f>
        <v>244640.84741711998</v>
      </c>
      <c r="D192" s="13"/>
      <c r="E192" s="13"/>
      <c r="F192" s="211"/>
    </row>
    <row r="193" spans="1:6" ht="13.5" thickBot="1" x14ac:dyDescent="0.25">
      <c r="A193" s="212" t="s">
        <v>85</v>
      </c>
      <c r="B193" s="160" t="s">
        <v>24</v>
      </c>
      <c r="C193" s="160"/>
      <c r="D193" s="162">
        <f>C190*C192/12/100</f>
        <v>1885.7731988403</v>
      </c>
      <c r="E193" s="161">
        <f>D193</f>
        <v>1885.7731988403</v>
      </c>
      <c r="F193" s="211"/>
    </row>
    <row r="194" spans="1:6" ht="13.5" thickTop="1" x14ac:dyDescent="0.2">
      <c r="A194" s="198" t="s">
        <v>275</v>
      </c>
      <c r="B194" s="10" t="s">
        <v>8</v>
      </c>
      <c r="C194" s="10">
        <f>C178</f>
        <v>1</v>
      </c>
      <c r="D194" s="11">
        <f>D178</f>
        <v>864397.09440000006</v>
      </c>
      <c r="E194" s="11">
        <f>C194*D194</f>
        <v>864397.09440000006</v>
      </c>
      <c r="F194" s="211"/>
    </row>
    <row r="195" spans="1:6" x14ac:dyDescent="0.2">
      <c r="A195" s="207" t="s">
        <v>151</v>
      </c>
      <c r="B195" s="12" t="s">
        <v>2</v>
      </c>
      <c r="C195" s="158">
        <f>C190</f>
        <v>9.25</v>
      </c>
      <c r="D195" s="13"/>
      <c r="E195" s="13"/>
      <c r="F195" s="211"/>
    </row>
    <row r="196" spans="1:6" x14ac:dyDescent="0.2">
      <c r="A196" s="207" t="s">
        <v>281</v>
      </c>
      <c r="B196" s="12" t="s">
        <v>24</v>
      </c>
      <c r="C196" s="65">
        <f>IFERROR(IF(C180&lt;=C179,E178-(C181/(100*C179)*C180)*E178,E178-E181),0)</f>
        <v>864397.09440000006</v>
      </c>
      <c r="D196" s="13"/>
      <c r="E196" s="13"/>
      <c r="F196" s="211"/>
    </row>
    <row r="197" spans="1:6" x14ac:dyDescent="0.2">
      <c r="A197" s="217" t="s">
        <v>282</v>
      </c>
      <c r="B197" s="12" t="s">
        <v>24</v>
      </c>
      <c r="C197" s="49">
        <f>IFERROR(IF(C180&gt;=C179,C196,((((C196)-(E178-E181))*(((C179-C180)+1)/(2*(C179-C180))))+(E178-E181))),0)</f>
        <v>610860.78264153609</v>
      </c>
      <c r="D197" s="13"/>
      <c r="E197" s="13"/>
      <c r="F197" s="211"/>
    </row>
    <row r="198" spans="1:6" x14ac:dyDescent="0.2">
      <c r="A198" s="218" t="s">
        <v>283</v>
      </c>
      <c r="B198" s="51" t="s">
        <v>24</v>
      </c>
      <c r="C198" s="51"/>
      <c r="D198" s="54">
        <f>C195*C197/12/100</f>
        <v>4708.7185328618407</v>
      </c>
      <c r="E198" s="52">
        <f>D198</f>
        <v>4708.7185328618407</v>
      </c>
      <c r="F198" s="211"/>
    </row>
    <row r="199" spans="1:6" x14ac:dyDescent="0.2">
      <c r="A199" s="206" t="s">
        <v>197</v>
      </c>
      <c r="B199" s="187"/>
      <c r="C199" s="187"/>
      <c r="D199" s="23"/>
      <c r="E199" s="55">
        <f>E193+E198</f>
        <v>6594.4917317021409</v>
      </c>
      <c r="F199" s="211"/>
    </row>
    <row r="200" spans="1:6" ht="13.5" thickBot="1" x14ac:dyDescent="0.25">
      <c r="A200" s="204" t="s">
        <v>175</v>
      </c>
      <c r="B200" s="51" t="s">
        <v>8</v>
      </c>
      <c r="C200" s="158">
        <f>C184</f>
        <v>1</v>
      </c>
      <c r="D200" s="52">
        <f>E199</f>
        <v>6594.4917317021409</v>
      </c>
      <c r="E200" s="55">
        <f>C200*D200</f>
        <v>6594.4917317021409</v>
      </c>
      <c r="F200" s="211"/>
    </row>
    <row r="201" spans="1:6" ht="13.5" thickBot="1" x14ac:dyDescent="0.25">
      <c r="A201" s="192"/>
      <c r="B201" s="32"/>
      <c r="C201" s="190"/>
      <c r="D201" s="188" t="s">
        <v>143</v>
      </c>
      <c r="E201" s="29">
        <f>E185</f>
        <v>0.33329999999999999</v>
      </c>
      <c r="F201" s="14">
        <f>ROUND((E200*E201),2)</f>
        <v>2197.94</v>
      </c>
    </row>
    <row r="202" spans="1:6" ht="11.25" customHeight="1" thickBot="1" x14ac:dyDescent="0.25">
      <c r="A202" s="196" t="s">
        <v>39</v>
      </c>
      <c r="B202" s="32"/>
      <c r="C202" s="32"/>
      <c r="D202" s="35"/>
      <c r="E202" s="35"/>
      <c r="F202" s="61"/>
    </row>
    <row r="203" spans="1:6" ht="13.5" thickBot="1" x14ac:dyDescent="0.25">
      <c r="A203" s="36" t="s">
        <v>48</v>
      </c>
      <c r="B203" s="37" t="s">
        <v>49</v>
      </c>
      <c r="C203" s="37" t="s">
        <v>30</v>
      </c>
      <c r="D203" s="38" t="s">
        <v>166</v>
      </c>
      <c r="E203" s="38" t="s">
        <v>50</v>
      </c>
      <c r="F203" s="39" t="s">
        <v>51</v>
      </c>
    </row>
    <row r="204" spans="1:6" x14ac:dyDescent="0.2">
      <c r="A204" s="209" t="s">
        <v>9</v>
      </c>
      <c r="B204" s="10" t="s">
        <v>8</v>
      </c>
      <c r="C204" s="11">
        <f>C184</f>
        <v>1</v>
      </c>
      <c r="D204" s="11">
        <f>0.01*($E173)</f>
        <v>3461.7844799999998</v>
      </c>
      <c r="E204" s="11">
        <f>C204*D204</f>
        <v>3461.7844799999998</v>
      </c>
      <c r="F204" s="61"/>
    </row>
    <row r="205" spans="1:6" x14ac:dyDescent="0.2">
      <c r="A205" s="207" t="s">
        <v>267</v>
      </c>
      <c r="B205" s="12" t="s">
        <v>8</v>
      </c>
      <c r="C205" s="11">
        <f>C184</f>
        <v>1</v>
      </c>
      <c r="D205" s="303">
        <v>66.7</v>
      </c>
      <c r="E205" s="13">
        <f>C205*D205</f>
        <v>66.7</v>
      </c>
      <c r="F205" s="61"/>
    </row>
    <row r="206" spans="1:6" x14ac:dyDescent="0.2">
      <c r="A206" s="203" t="s">
        <v>10</v>
      </c>
      <c r="B206" s="12" t="s">
        <v>8</v>
      </c>
      <c r="C206" s="11">
        <f>C184</f>
        <v>1</v>
      </c>
      <c r="D206" s="303">
        <v>2900</v>
      </c>
      <c r="E206" s="13">
        <f>C206*D206</f>
        <v>2900</v>
      </c>
      <c r="F206" s="219"/>
    </row>
    <row r="207" spans="1:6" ht="13.5" thickBot="1" x14ac:dyDescent="0.25">
      <c r="A207" s="204" t="s">
        <v>11</v>
      </c>
      <c r="B207" s="51" t="s">
        <v>6</v>
      </c>
      <c r="C207" s="51">
        <v>12</v>
      </c>
      <c r="D207" s="52">
        <f>SUM(E204:E206)</f>
        <v>6428.4844799999992</v>
      </c>
      <c r="E207" s="52">
        <f>D207/C207</f>
        <v>535.70703999999989</v>
      </c>
      <c r="F207" s="61"/>
    </row>
    <row r="208" spans="1:6" ht="13.5" thickBot="1" x14ac:dyDescent="0.25">
      <c r="A208" s="192"/>
      <c r="B208" s="32"/>
      <c r="C208" s="32"/>
      <c r="D208" s="188" t="s">
        <v>143</v>
      </c>
      <c r="E208" s="29">
        <f>E201</f>
        <v>0.33329999999999999</v>
      </c>
      <c r="F208" s="57">
        <f>ROUND((E207*E208),2)</f>
        <v>178.55</v>
      </c>
    </row>
    <row r="209" spans="1:6" x14ac:dyDescent="0.2">
      <c r="A209" s="192"/>
      <c r="B209" s="32"/>
      <c r="C209" s="32"/>
      <c r="D209" s="35"/>
      <c r="E209" s="35"/>
      <c r="F209" s="61"/>
    </row>
    <row r="210" spans="1:6" ht="11.25" customHeight="1" x14ac:dyDescent="0.2">
      <c r="A210" s="196" t="s">
        <v>40</v>
      </c>
      <c r="B210" s="191"/>
      <c r="C210" s="32"/>
      <c r="D210" s="35"/>
      <c r="E210" s="35"/>
      <c r="F210" s="61"/>
    </row>
    <row r="211" spans="1:6" x14ac:dyDescent="0.2">
      <c r="A211" s="215" t="s">
        <v>198</v>
      </c>
      <c r="B211" s="337">
        <f>D211+E211</f>
        <v>1081.6199999999999</v>
      </c>
      <c r="C211" s="32"/>
      <c r="D211" s="35">
        <v>233.82</v>
      </c>
      <c r="E211" s="35">
        <v>847.8</v>
      </c>
      <c r="F211" s="61"/>
    </row>
    <row r="212" spans="1:6" ht="13.5" thickBot="1" x14ac:dyDescent="0.25">
      <c r="A212" s="192"/>
      <c r="B212" s="191"/>
      <c r="C212" s="32"/>
      <c r="D212" s="35"/>
      <c r="E212" s="35"/>
      <c r="F212" s="61"/>
    </row>
    <row r="213" spans="1:6" ht="11.25" customHeight="1" thickBot="1" x14ac:dyDescent="0.25">
      <c r="A213" s="36" t="s">
        <v>48</v>
      </c>
      <c r="B213" s="37" t="s">
        <v>49</v>
      </c>
      <c r="C213" s="37" t="s">
        <v>174</v>
      </c>
      <c r="D213" s="38" t="s">
        <v>166</v>
      </c>
      <c r="E213" s="38" t="s">
        <v>50</v>
      </c>
      <c r="F213" s="39" t="s">
        <v>51</v>
      </c>
    </row>
    <row r="214" spans="1:6" ht="11.25" customHeight="1" x14ac:dyDescent="0.2">
      <c r="A214" s="209" t="s">
        <v>12</v>
      </c>
      <c r="B214" s="10" t="s">
        <v>13</v>
      </c>
      <c r="C214" s="338">
        <v>1.91</v>
      </c>
      <c r="D214" s="339">
        <v>5.39</v>
      </c>
      <c r="E214" s="11"/>
      <c r="F214" s="61"/>
    </row>
    <row r="215" spans="1:6" x14ac:dyDescent="0.2">
      <c r="A215" s="203" t="s">
        <v>14</v>
      </c>
      <c r="B215" s="12" t="s">
        <v>15</v>
      </c>
      <c r="C215" s="320">
        <f>B211</f>
        <v>1081.6199999999999</v>
      </c>
      <c r="D215" s="339">
        <f>IFERROR(+D214/C214,"-")</f>
        <v>2.8219895287958114</v>
      </c>
      <c r="E215" s="13">
        <f>IFERROR(C215*D215,"-")</f>
        <v>3052.3203141361255</v>
      </c>
      <c r="F215" s="61"/>
    </row>
    <row r="216" spans="1:6" x14ac:dyDescent="0.2">
      <c r="A216" s="207" t="s">
        <v>207</v>
      </c>
      <c r="B216" s="178" t="s">
        <v>13</v>
      </c>
      <c r="C216" s="338">
        <v>90</v>
      </c>
      <c r="D216" s="339">
        <v>3.5</v>
      </c>
      <c r="E216" s="13"/>
      <c r="F216" s="61"/>
    </row>
    <row r="217" spans="1:6" x14ac:dyDescent="0.2">
      <c r="A217" s="207" t="s">
        <v>272</v>
      </c>
      <c r="B217" s="178" t="s">
        <v>273</v>
      </c>
      <c r="C217" s="340">
        <f>C215</f>
        <v>1081.6199999999999</v>
      </c>
      <c r="D217" s="341">
        <f>IFERROR(+D216/C216,"-")</f>
        <v>3.888888888888889E-2</v>
      </c>
      <c r="E217" s="234">
        <f>IFERROR(C217*D217,"-")</f>
        <v>42.062999999999995</v>
      </c>
      <c r="F217" s="231"/>
    </row>
    <row r="218" spans="1:6" x14ac:dyDescent="0.2">
      <c r="A218" s="203" t="s">
        <v>167</v>
      </c>
      <c r="B218" s="12" t="s">
        <v>16</v>
      </c>
      <c r="C218" s="331">
        <v>2.5</v>
      </c>
      <c r="D218" s="308">
        <v>20</v>
      </c>
      <c r="E218" s="13"/>
      <c r="F218" s="61"/>
    </row>
    <row r="219" spans="1:6" x14ac:dyDescent="0.2">
      <c r="A219" s="203" t="s">
        <v>17</v>
      </c>
      <c r="B219" s="12" t="s">
        <v>15</v>
      </c>
      <c r="C219" s="320">
        <f>C215</f>
        <v>1081.6199999999999</v>
      </c>
      <c r="D219" s="342">
        <f>+C218*D218/1000</f>
        <v>0.05</v>
      </c>
      <c r="E219" s="13">
        <f>C219*D219</f>
        <v>54.080999999999996</v>
      </c>
      <c r="F219" s="61"/>
    </row>
    <row r="220" spans="1:6" x14ac:dyDescent="0.2">
      <c r="A220" s="203" t="s">
        <v>168</v>
      </c>
      <c r="B220" s="12" t="s">
        <v>16</v>
      </c>
      <c r="C220" s="331">
        <v>0.3</v>
      </c>
      <c r="D220" s="308">
        <v>25</v>
      </c>
      <c r="E220" s="13"/>
      <c r="F220" s="61"/>
    </row>
    <row r="221" spans="1:6" ht="11.25" customHeight="1" x14ac:dyDescent="0.2">
      <c r="A221" s="203" t="s">
        <v>18</v>
      </c>
      <c r="B221" s="12" t="s">
        <v>15</v>
      </c>
      <c r="C221" s="320">
        <f>C215</f>
        <v>1081.6199999999999</v>
      </c>
      <c r="D221" s="342">
        <f>+C220*D220/1000</f>
        <v>7.4999999999999997E-3</v>
      </c>
      <c r="E221" s="13">
        <f>C221*D221</f>
        <v>8.1121499999999997</v>
      </c>
      <c r="F221" s="61"/>
    </row>
    <row r="222" spans="1:6" x14ac:dyDescent="0.2">
      <c r="A222" s="203" t="s">
        <v>169</v>
      </c>
      <c r="B222" s="12" t="s">
        <v>16</v>
      </c>
      <c r="C222" s="331">
        <v>4</v>
      </c>
      <c r="D222" s="308">
        <v>15.75</v>
      </c>
      <c r="E222" s="13"/>
      <c r="F222" s="61"/>
    </row>
    <row r="223" spans="1:6" ht="11.25" customHeight="1" x14ac:dyDescent="0.2">
      <c r="A223" s="203" t="s">
        <v>19</v>
      </c>
      <c r="B223" s="12" t="s">
        <v>15</v>
      </c>
      <c r="C223" s="320">
        <f>C215</f>
        <v>1081.6199999999999</v>
      </c>
      <c r="D223" s="342">
        <f>+C222*D222/1000</f>
        <v>6.3E-2</v>
      </c>
      <c r="E223" s="13">
        <f>C223*D223</f>
        <v>68.142059999999987</v>
      </c>
      <c r="F223" s="61"/>
    </row>
    <row r="224" spans="1:6" x14ac:dyDescent="0.2">
      <c r="A224" s="203" t="s">
        <v>20</v>
      </c>
      <c r="B224" s="12" t="s">
        <v>21</v>
      </c>
      <c r="C224" s="331">
        <v>2</v>
      </c>
      <c r="D224" s="308">
        <v>23.65</v>
      </c>
      <c r="E224" s="13"/>
      <c r="F224" s="61"/>
    </row>
    <row r="225" spans="1:6" ht="11.25" customHeight="1" x14ac:dyDescent="0.2">
      <c r="A225" s="203" t="s">
        <v>22</v>
      </c>
      <c r="B225" s="12" t="s">
        <v>15</v>
      </c>
      <c r="C225" s="320">
        <f>C215</f>
        <v>1081.6199999999999</v>
      </c>
      <c r="D225" s="342">
        <f>+C224*D224/1000</f>
        <v>4.7299999999999995E-2</v>
      </c>
      <c r="E225" s="13">
        <f>C225*D225</f>
        <v>51.160625999999986</v>
      </c>
      <c r="F225" s="61"/>
    </row>
    <row r="226" spans="1:6" ht="13.5" thickBot="1" x14ac:dyDescent="0.25">
      <c r="A226" s="279" t="s">
        <v>173</v>
      </c>
      <c r="B226" s="51" t="s">
        <v>87</v>
      </c>
      <c r="C226" s="343"/>
      <c r="D226" s="344">
        <f>IFERROR(D215+D217+D219+D221+D223+D225,0)</f>
        <v>3.0286784176846999</v>
      </c>
      <c r="E226" s="13"/>
      <c r="F226" s="61"/>
    </row>
    <row r="227" spans="1:6" ht="13.5" thickBot="1" x14ac:dyDescent="0.25">
      <c r="A227" s="24"/>
      <c r="B227" s="187"/>
      <c r="C227" s="389"/>
      <c r="D227" s="390"/>
      <c r="E227" s="281"/>
      <c r="F227" s="14">
        <f>ROUND(SUM(E214:E225),2)</f>
        <v>3275.88</v>
      </c>
    </row>
    <row r="228" spans="1:6" x14ac:dyDescent="0.2">
      <c r="A228" s="192"/>
      <c r="B228" s="32"/>
      <c r="C228" s="32"/>
      <c r="D228" s="35"/>
      <c r="E228" s="35"/>
      <c r="F228" s="61"/>
    </row>
    <row r="229" spans="1:6" ht="13.5" thickBot="1" x14ac:dyDescent="0.25">
      <c r="A229" s="196" t="s">
        <v>41</v>
      </c>
      <c r="B229" s="32"/>
      <c r="C229" s="32"/>
      <c r="D229" s="35"/>
      <c r="E229" s="35"/>
      <c r="F229" s="61"/>
    </row>
    <row r="230" spans="1:6" ht="13.5" thickBot="1" x14ac:dyDescent="0.25">
      <c r="A230" s="36" t="s">
        <v>48</v>
      </c>
      <c r="B230" s="37" t="s">
        <v>49</v>
      </c>
      <c r="C230" s="37" t="s">
        <v>30</v>
      </c>
      <c r="D230" s="38" t="s">
        <v>166</v>
      </c>
      <c r="E230" s="38" t="s">
        <v>50</v>
      </c>
      <c r="F230" s="39" t="s">
        <v>51</v>
      </c>
    </row>
    <row r="231" spans="1:6" x14ac:dyDescent="0.2">
      <c r="A231" s="209" t="s">
        <v>86</v>
      </c>
      <c r="B231" s="10" t="s">
        <v>87</v>
      </c>
      <c r="C231" s="320">
        <f>C215</f>
        <v>1081.6199999999999</v>
      </c>
      <c r="D231" s="307">
        <v>0.74</v>
      </c>
      <c r="E231" s="11">
        <f>C231*D231</f>
        <v>800.39879999999994</v>
      </c>
      <c r="F231" s="61"/>
    </row>
    <row r="232" spans="1:6" ht="13.5" thickBot="1" x14ac:dyDescent="0.25">
      <c r="A232" s="202" t="s">
        <v>211</v>
      </c>
      <c r="B232" s="179" t="s">
        <v>212</v>
      </c>
      <c r="C232" s="340">
        <v>4</v>
      </c>
      <c r="D232" s="307">
        <v>120</v>
      </c>
      <c r="E232" s="11">
        <f>C232*D232</f>
        <v>480</v>
      </c>
      <c r="F232" s="6"/>
    </row>
    <row r="233" spans="1:6" ht="13.5" thickBot="1" x14ac:dyDescent="0.25">
      <c r="A233" s="192"/>
      <c r="B233" s="32"/>
      <c r="C233" s="32"/>
      <c r="D233" s="35"/>
      <c r="E233" s="35"/>
      <c r="F233" s="14">
        <f>SUM(E231:E232)</f>
        <v>1280.3987999999999</v>
      </c>
    </row>
    <row r="234" spans="1:6" x14ac:dyDescent="0.2">
      <c r="A234" s="192"/>
      <c r="B234" s="32"/>
      <c r="C234" s="32"/>
      <c r="D234" s="35"/>
      <c r="E234" s="35"/>
      <c r="F234" s="61"/>
    </row>
    <row r="235" spans="1:6" s="30" customFormat="1" ht="11.25" customHeight="1" thickBot="1" x14ac:dyDescent="0.25">
      <c r="A235" s="196" t="s">
        <v>47</v>
      </c>
      <c r="B235" s="32"/>
      <c r="C235" s="32"/>
      <c r="D235" s="35"/>
      <c r="E235" s="35"/>
      <c r="F235" s="61"/>
    </row>
    <row r="236" spans="1:6" ht="11.25" customHeight="1" thickBot="1" x14ac:dyDescent="0.25">
      <c r="A236" s="36" t="s">
        <v>48</v>
      </c>
      <c r="B236" s="37" t="s">
        <v>49</v>
      </c>
      <c r="C236" s="37" t="s">
        <v>30</v>
      </c>
      <c r="D236" s="38" t="s">
        <v>166</v>
      </c>
      <c r="E236" s="38" t="s">
        <v>50</v>
      </c>
      <c r="F236" s="39" t="s">
        <v>51</v>
      </c>
    </row>
    <row r="237" spans="1:6" x14ac:dyDescent="0.2">
      <c r="A237" s="198" t="s">
        <v>284</v>
      </c>
      <c r="B237" s="10" t="s">
        <v>8</v>
      </c>
      <c r="C237" s="345">
        <v>10</v>
      </c>
      <c r="D237" s="323">
        <v>2050</v>
      </c>
      <c r="E237" s="11">
        <f>C237*D237</f>
        <v>20500</v>
      </c>
      <c r="F237" s="61"/>
    </row>
    <row r="238" spans="1:6" x14ac:dyDescent="0.2">
      <c r="A238" s="209" t="s">
        <v>88</v>
      </c>
      <c r="B238" s="10" t="s">
        <v>8</v>
      </c>
      <c r="C238" s="345">
        <v>2</v>
      </c>
      <c r="D238" s="323"/>
      <c r="E238" s="11"/>
      <c r="F238" s="61"/>
    </row>
    <row r="239" spans="1:6" x14ac:dyDescent="0.2">
      <c r="A239" s="209" t="s">
        <v>52</v>
      </c>
      <c r="B239" s="10" t="s">
        <v>8</v>
      </c>
      <c r="C239" s="323">
        <f>C237*C238</f>
        <v>20</v>
      </c>
      <c r="D239" s="323">
        <v>710</v>
      </c>
      <c r="E239" s="11">
        <f>C239*D239</f>
        <v>14200</v>
      </c>
      <c r="F239" s="61"/>
    </row>
    <row r="240" spans="1:6" x14ac:dyDescent="0.2">
      <c r="A240" s="285" t="s">
        <v>268</v>
      </c>
      <c r="B240" s="282" t="s">
        <v>23</v>
      </c>
      <c r="C240" s="346">
        <v>80000</v>
      </c>
      <c r="D240" s="347">
        <f>E237+E239</f>
        <v>34700</v>
      </c>
      <c r="E240" s="280">
        <f>IFERROR(D240/C240,"-")</f>
        <v>0.43375000000000002</v>
      </c>
      <c r="F240" s="61"/>
    </row>
    <row r="241" spans="1:6" ht="13.5" thickBot="1" x14ac:dyDescent="0.25">
      <c r="A241" s="283" t="s">
        <v>43</v>
      </c>
      <c r="B241" s="12" t="s">
        <v>15</v>
      </c>
      <c r="C241" s="320">
        <f>B211</f>
        <v>1081.6199999999999</v>
      </c>
      <c r="D241" s="308">
        <f>E240</f>
        <v>0.43375000000000002</v>
      </c>
      <c r="E241" s="13">
        <f>IFERROR(C241*D241,0)</f>
        <v>469.15267499999999</v>
      </c>
      <c r="F241" s="61"/>
    </row>
    <row r="242" spans="1:6" ht="13.5" thickBot="1" x14ac:dyDescent="0.25">
      <c r="A242" s="24"/>
      <c r="B242" s="187"/>
      <c r="C242" s="389"/>
      <c r="D242" s="390"/>
      <c r="E242" s="281"/>
      <c r="F242" s="48">
        <f>ROUND((E241),2)</f>
        <v>469.15</v>
      </c>
    </row>
    <row r="243" spans="1:6" s="30" customFormat="1" ht="11.25" customHeight="1" x14ac:dyDescent="0.2">
      <c r="A243" s="196"/>
      <c r="B243" s="187"/>
      <c r="C243" s="274"/>
      <c r="D243" s="275"/>
      <c r="E243" s="276"/>
      <c r="F243" s="277"/>
    </row>
    <row r="244" spans="1:6" x14ac:dyDescent="0.2">
      <c r="A244" s="197" t="s">
        <v>310</v>
      </c>
      <c r="B244" s="32"/>
      <c r="C244" s="32"/>
      <c r="D244" s="35"/>
      <c r="E244" s="35"/>
      <c r="F244" s="61"/>
    </row>
    <row r="245" spans="1:6" ht="13.5" thickBot="1" x14ac:dyDescent="0.25">
      <c r="A245" s="210" t="s">
        <v>199</v>
      </c>
      <c r="B245" s="32"/>
      <c r="C245" s="32"/>
      <c r="D245" s="35"/>
      <c r="E245" s="35"/>
      <c r="F245" s="61"/>
    </row>
    <row r="246" spans="1:6" ht="13.5" thickBot="1" x14ac:dyDescent="0.25">
      <c r="A246" s="36" t="s">
        <v>48</v>
      </c>
      <c r="B246" s="37" t="s">
        <v>49</v>
      </c>
      <c r="C246" s="37" t="s">
        <v>30</v>
      </c>
      <c r="D246" s="38" t="s">
        <v>166</v>
      </c>
      <c r="E246" s="38" t="s">
        <v>50</v>
      </c>
      <c r="F246" s="39" t="s">
        <v>51</v>
      </c>
    </row>
    <row r="247" spans="1:6" x14ac:dyDescent="0.2">
      <c r="A247" s="209" t="s">
        <v>78</v>
      </c>
      <c r="B247" s="10" t="s">
        <v>8</v>
      </c>
      <c r="C247" s="306">
        <v>1</v>
      </c>
      <c r="D247" s="377">
        <f>300000*1.0490256</f>
        <v>314707.68</v>
      </c>
      <c r="E247" s="11">
        <f>C247*D247</f>
        <v>314707.68</v>
      </c>
      <c r="F247" s="61"/>
    </row>
    <row r="248" spans="1:6" x14ac:dyDescent="0.2">
      <c r="A248" s="203" t="s">
        <v>75</v>
      </c>
      <c r="B248" s="12" t="s">
        <v>76</v>
      </c>
      <c r="C248" s="333">
        <v>10</v>
      </c>
      <c r="D248" s="308"/>
      <c r="E248" s="13"/>
      <c r="F248" s="61"/>
    </row>
    <row r="249" spans="1:6" x14ac:dyDescent="0.2">
      <c r="A249" s="203" t="s">
        <v>149</v>
      </c>
      <c r="B249" s="12" t="s">
        <v>76</v>
      </c>
      <c r="C249" s="333">
        <v>0</v>
      </c>
      <c r="D249" s="308"/>
      <c r="E249" s="13"/>
      <c r="F249" s="211"/>
    </row>
    <row r="250" spans="1:6" x14ac:dyDescent="0.2">
      <c r="A250" s="203" t="s">
        <v>77</v>
      </c>
      <c r="B250" s="12" t="s">
        <v>2</v>
      </c>
      <c r="C250" s="308">
        <f>'5. Depreciação'!B12</f>
        <v>65.180000000000007</v>
      </c>
      <c r="D250" s="308">
        <f>E247</f>
        <v>314707.68</v>
      </c>
      <c r="E250" s="13">
        <f>C250*D250/100</f>
        <v>205126.46582400001</v>
      </c>
      <c r="F250" s="61"/>
    </row>
    <row r="251" spans="1:6" ht="13.5" thickBot="1" x14ac:dyDescent="0.25">
      <c r="A251" s="212" t="s">
        <v>38</v>
      </c>
      <c r="B251" s="160" t="s">
        <v>6</v>
      </c>
      <c r="C251" s="334">
        <f>C248*12</f>
        <v>120</v>
      </c>
      <c r="D251" s="335">
        <f>IF(C249&lt;=C248,E250,0)</f>
        <v>205126.46582400001</v>
      </c>
      <c r="E251" s="161">
        <f>IFERROR(D251/C251,0)</f>
        <v>1709.3872152000001</v>
      </c>
      <c r="F251" s="61"/>
    </row>
    <row r="252" spans="1:6" ht="13.5" thickTop="1" x14ac:dyDescent="0.2">
      <c r="A252" s="213" t="s">
        <v>285</v>
      </c>
      <c r="B252" s="10" t="s">
        <v>8</v>
      </c>
      <c r="C252" s="306">
        <f>C247</f>
        <v>1</v>
      </c>
      <c r="D252" s="377">
        <f>1312000*1.0490256</f>
        <v>1376321.5872</v>
      </c>
      <c r="E252" s="11">
        <f>C252*D252</f>
        <v>1376321.5872</v>
      </c>
      <c r="F252" s="61"/>
    </row>
    <row r="253" spans="1:6" x14ac:dyDescent="0.2">
      <c r="A253" s="214" t="s">
        <v>276</v>
      </c>
      <c r="B253" s="12" t="s">
        <v>76</v>
      </c>
      <c r="C253" s="333">
        <v>10</v>
      </c>
      <c r="D253" s="308"/>
      <c r="E253" s="13"/>
      <c r="F253" s="61"/>
    </row>
    <row r="254" spans="1:6" s="30" customFormat="1" ht="11.25" customHeight="1" x14ac:dyDescent="0.2">
      <c r="A254" s="214" t="s">
        <v>277</v>
      </c>
      <c r="B254" s="12" t="s">
        <v>76</v>
      </c>
      <c r="C254" s="333">
        <v>0</v>
      </c>
      <c r="D254" s="308"/>
      <c r="E254" s="13"/>
      <c r="F254" s="211"/>
    </row>
    <row r="255" spans="1:6" x14ac:dyDescent="0.2">
      <c r="A255" s="214" t="s">
        <v>278</v>
      </c>
      <c r="B255" s="12" t="s">
        <v>2</v>
      </c>
      <c r="C255" s="319">
        <f>IFERROR(VLOOKUP(C253,'5. Depreciação'!A$3:B$17,2,FALSE),0)</f>
        <v>65.180000000000007</v>
      </c>
      <c r="D255" s="308">
        <f>E252</f>
        <v>1376321.5872</v>
      </c>
      <c r="E255" s="13">
        <f>C255*D255/100</f>
        <v>897086.41053696012</v>
      </c>
      <c r="F255" s="61"/>
    </row>
    <row r="256" spans="1:6" x14ac:dyDescent="0.2">
      <c r="A256" s="200" t="s">
        <v>279</v>
      </c>
      <c r="B256" s="278" t="s">
        <v>6</v>
      </c>
      <c r="C256" s="348">
        <f>C253*12</f>
        <v>120</v>
      </c>
      <c r="D256" s="349">
        <f>IF(C254&lt;=C253,E255,0)</f>
        <v>897086.41053696012</v>
      </c>
      <c r="E256" s="55">
        <f>IFERROR(D256/C256,0)</f>
        <v>7475.7200878080012</v>
      </c>
      <c r="F256" s="61"/>
    </row>
    <row r="257" spans="1:6" x14ac:dyDescent="0.2">
      <c r="A257" s="279" t="s">
        <v>280</v>
      </c>
      <c r="B257" s="51"/>
      <c r="C257" s="336"/>
      <c r="D257" s="314"/>
      <c r="E257" s="52">
        <f>E251+E256</f>
        <v>9185.1073030080006</v>
      </c>
      <c r="F257" s="61"/>
    </row>
    <row r="258" spans="1:6" ht="13.5" thickBot="1" x14ac:dyDescent="0.25">
      <c r="A258" s="279" t="s">
        <v>175</v>
      </c>
      <c r="B258" s="51" t="s">
        <v>8</v>
      </c>
      <c r="C258" s="300">
        <v>1</v>
      </c>
      <c r="D258" s="314">
        <f>E257</f>
        <v>9185.1073030080006</v>
      </c>
      <c r="E258" s="52">
        <f>C258*D258</f>
        <v>9185.1073030080006</v>
      </c>
      <c r="F258" s="61"/>
    </row>
    <row r="259" spans="1:6" ht="13.5" thickBot="1" x14ac:dyDescent="0.25">
      <c r="A259" s="24"/>
      <c r="B259" s="187"/>
      <c r="C259" s="389" t="s">
        <v>143</v>
      </c>
      <c r="D259" s="390"/>
      <c r="E259" s="29">
        <f>B53</f>
        <v>8.3299999999999999E-2</v>
      </c>
      <c r="F259" s="57">
        <f>ROUND(((E258)*E259),2)</f>
        <v>765.12</v>
      </c>
    </row>
    <row r="260" spans="1:6" x14ac:dyDescent="0.2">
      <c r="A260" s="216"/>
      <c r="B260" s="156"/>
      <c r="C260" s="156"/>
      <c r="D260" s="188"/>
      <c r="E260" s="35"/>
      <c r="F260" s="61"/>
    </row>
    <row r="261" spans="1:6" ht="11.25" customHeight="1" thickBot="1" x14ac:dyDescent="0.25">
      <c r="A261" s="210" t="s">
        <v>200</v>
      </c>
      <c r="B261" s="32"/>
      <c r="C261" s="32"/>
      <c r="D261" s="35"/>
      <c r="E261" s="35"/>
      <c r="F261" s="61"/>
    </row>
    <row r="262" spans="1:6" ht="13.5" thickBot="1" x14ac:dyDescent="0.25">
      <c r="A262" s="36" t="s">
        <v>48</v>
      </c>
      <c r="B262" s="37" t="s">
        <v>49</v>
      </c>
      <c r="C262" s="37" t="s">
        <v>30</v>
      </c>
      <c r="D262" s="38" t="s">
        <v>166</v>
      </c>
      <c r="E262" s="38" t="s">
        <v>50</v>
      </c>
      <c r="F262" s="39" t="s">
        <v>51</v>
      </c>
    </row>
    <row r="263" spans="1:6" x14ac:dyDescent="0.2">
      <c r="A263" s="209" t="s">
        <v>81</v>
      </c>
      <c r="B263" s="10" t="s">
        <v>8</v>
      </c>
      <c r="C263" s="157">
        <v>1</v>
      </c>
      <c r="D263" s="11">
        <f>D247</f>
        <v>314707.68</v>
      </c>
      <c r="E263" s="11">
        <f>C263*D263</f>
        <v>314707.68</v>
      </c>
      <c r="F263" s="211"/>
    </row>
    <row r="264" spans="1:6" x14ac:dyDescent="0.2">
      <c r="A264" s="203" t="s">
        <v>151</v>
      </c>
      <c r="B264" s="12" t="s">
        <v>2</v>
      </c>
      <c r="C264" s="309">
        <v>9.25</v>
      </c>
      <c r="D264" s="13"/>
      <c r="E264" s="13"/>
      <c r="F264" s="211"/>
    </row>
    <row r="265" spans="1:6" ht="11.25" customHeight="1" x14ac:dyDescent="0.2">
      <c r="A265" s="203" t="s">
        <v>150</v>
      </c>
      <c r="B265" s="12" t="s">
        <v>24</v>
      </c>
      <c r="C265" s="65">
        <f>IFERROR(IF(C249&lt;=C248,E247-(C250/(100*C248)*C249)*E247,E247-E250),0)</f>
        <v>314707.68</v>
      </c>
      <c r="D265" s="13"/>
      <c r="E265" s="13"/>
      <c r="F265" s="211"/>
    </row>
    <row r="266" spans="1:6" x14ac:dyDescent="0.2">
      <c r="A266" s="203" t="s">
        <v>84</v>
      </c>
      <c r="B266" s="12" t="s">
        <v>24</v>
      </c>
      <c r="C266" s="49">
        <f>IFERROR(IF(C249&gt;=C248,C265,((((C265)-(E247-E250))*(((C248-C249)+1)/(2*(C248-C249))))+(E247-E250))),0)</f>
        <v>222400.7703792</v>
      </c>
      <c r="D266" s="13"/>
      <c r="E266" s="13"/>
      <c r="F266" s="211"/>
    </row>
    <row r="267" spans="1:6" ht="13.5" thickBot="1" x14ac:dyDescent="0.25">
      <c r="A267" s="212" t="s">
        <v>85</v>
      </c>
      <c r="B267" s="160" t="s">
        <v>24</v>
      </c>
      <c r="C267" s="160"/>
      <c r="D267" s="162">
        <f>C264*C266/12/100</f>
        <v>1714.339271673</v>
      </c>
      <c r="E267" s="161">
        <f>D267</f>
        <v>1714.339271673</v>
      </c>
      <c r="F267" s="211"/>
    </row>
    <row r="268" spans="1:6" ht="13.5" thickTop="1" x14ac:dyDescent="0.2">
      <c r="A268" s="198" t="s">
        <v>285</v>
      </c>
      <c r="B268" s="10" t="s">
        <v>8</v>
      </c>
      <c r="C268" s="10">
        <f>C252</f>
        <v>1</v>
      </c>
      <c r="D268" s="11">
        <f>D252</f>
        <v>1376321.5872</v>
      </c>
      <c r="E268" s="11">
        <f>C268*D268</f>
        <v>1376321.5872</v>
      </c>
      <c r="F268" s="211"/>
    </row>
    <row r="269" spans="1:6" ht="12.6" customHeight="1" x14ac:dyDescent="0.2">
      <c r="A269" s="207" t="s">
        <v>151</v>
      </c>
      <c r="B269" s="12" t="s">
        <v>2</v>
      </c>
      <c r="C269" s="158">
        <f>C264</f>
        <v>9.25</v>
      </c>
      <c r="D269" s="13"/>
      <c r="E269" s="13"/>
      <c r="F269" s="211"/>
    </row>
    <row r="270" spans="1:6" s="4" customFormat="1" ht="11.25" customHeight="1" x14ac:dyDescent="0.2">
      <c r="A270" s="207" t="s">
        <v>281</v>
      </c>
      <c r="B270" s="12" t="s">
        <v>24</v>
      </c>
      <c r="C270" s="65">
        <f>IFERROR(IF(C254&lt;=C253,E252-(C255/(100*C253)*C254)*E252,E252-E255),0)</f>
        <v>1376321.5872</v>
      </c>
      <c r="D270" s="13"/>
      <c r="E270" s="13"/>
      <c r="F270" s="211"/>
    </row>
    <row r="271" spans="1:6" s="4" customFormat="1" x14ac:dyDescent="0.2">
      <c r="A271" s="217" t="s">
        <v>282</v>
      </c>
      <c r="B271" s="12" t="s">
        <v>24</v>
      </c>
      <c r="C271" s="49">
        <f>IFERROR(IF(C254&gt;=C253,C270,((((C270)-(E252-E255))*(((C253-C254)+1)/(2*(C253-C254))))+(E252-E255))),0)</f>
        <v>972632.70245836792</v>
      </c>
      <c r="D271" s="13"/>
      <c r="E271" s="13"/>
      <c r="F271" s="211"/>
    </row>
    <row r="272" spans="1:6" s="4" customFormat="1" ht="11.25" customHeight="1" x14ac:dyDescent="0.2">
      <c r="A272" s="218" t="s">
        <v>283</v>
      </c>
      <c r="B272" s="51" t="s">
        <v>24</v>
      </c>
      <c r="C272" s="51"/>
      <c r="D272" s="54">
        <f>C269*C271/12/100</f>
        <v>7497.3770814499203</v>
      </c>
      <c r="E272" s="52">
        <f>D272</f>
        <v>7497.3770814499203</v>
      </c>
      <c r="F272" s="211"/>
    </row>
    <row r="273" spans="1:6" s="4" customFormat="1" x14ac:dyDescent="0.2">
      <c r="A273" s="206" t="s">
        <v>197</v>
      </c>
      <c r="B273" s="187"/>
      <c r="C273" s="187"/>
      <c r="D273" s="23"/>
      <c r="E273" s="55">
        <f>E267+E272</f>
        <v>9211.7163531229198</v>
      </c>
      <c r="F273" s="211"/>
    </row>
    <row r="274" spans="1:6" s="4" customFormat="1" ht="13.5" thickBot="1" x14ac:dyDescent="0.25">
      <c r="A274" s="204" t="s">
        <v>175</v>
      </c>
      <c r="B274" s="51" t="s">
        <v>8</v>
      </c>
      <c r="C274" s="158">
        <f>C258</f>
        <v>1</v>
      </c>
      <c r="D274" s="52">
        <f>E273</f>
        <v>9211.7163531229198</v>
      </c>
      <c r="E274" s="55">
        <f>C274*D274</f>
        <v>9211.7163531229198</v>
      </c>
      <c r="F274" s="211"/>
    </row>
    <row r="275" spans="1:6" s="4" customFormat="1" ht="13.5" thickBot="1" x14ac:dyDescent="0.25">
      <c r="A275" s="192"/>
      <c r="B275" s="32"/>
      <c r="C275" s="190"/>
      <c r="D275" s="188" t="s">
        <v>143</v>
      </c>
      <c r="E275" s="29">
        <f>E259</f>
        <v>8.3299999999999999E-2</v>
      </c>
      <c r="F275" s="14">
        <f>ROUND((E274*E275),2)</f>
        <v>767.34</v>
      </c>
    </row>
    <row r="276" spans="1:6" s="4" customFormat="1" ht="11.25" customHeight="1" thickBot="1" x14ac:dyDescent="0.25">
      <c r="A276" s="196" t="s">
        <v>201</v>
      </c>
      <c r="B276" s="32"/>
      <c r="C276" s="32"/>
      <c r="D276" s="35"/>
      <c r="E276" s="35"/>
      <c r="F276" s="61"/>
    </row>
    <row r="277" spans="1:6" s="4" customFormat="1" ht="13.5" thickBot="1" x14ac:dyDescent="0.25">
      <c r="A277" s="36" t="s">
        <v>48</v>
      </c>
      <c r="B277" s="37" t="s">
        <v>49</v>
      </c>
      <c r="C277" s="37" t="s">
        <v>30</v>
      </c>
      <c r="D277" s="38" t="s">
        <v>166</v>
      </c>
      <c r="E277" s="38" t="s">
        <v>50</v>
      </c>
      <c r="F277" s="39" t="s">
        <v>51</v>
      </c>
    </row>
    <row r="278" spans="1:6" s="4" customFormat="1" x14ac:dyDescent="0.2">
      <c r="A278" s="209" t="s">
        <v>9</v>
      </c>
      <c r="B278" s="10" t="s">
        <v>8</v>
      </c>
      <c r="C278" s="11">
        <f>C258</f>
        <v>1</v>
      </c>
      <c r="D278" s="11">
        <f>0.01*($E247)</f>
        <v>3147.0767999999998</v>
      </c>
      <c r="E278" s="11">
        <f>C278*D278</f>
        <v>3147.0767999999998</v>
      </c>
      <c r="F278" s="61"/>
    </row>
    <row r="279" spans="1:6" s="4" customFormat="1" x14ac:dyDescent="0.2">
      <c r="A279" s="207" t="s">
        <v>267</v>
      </c>
      <c r="B279" s="12" t="s">
        <v>8</v>
      </c>
      <c r="C279" s="11">
        <f>C258</f>
        <v>1</v>
      </c>
      <c r="D279" s="303">
        <v>66.7</v>
      </c>
      <c r="E279" s="13">
        <f>C279*D279</f>
        <v>66.7</v>
      </c>
      <c r="F279" s="61"/>
    </row>
    <row r="280" spans="1:6" s="4" customFormat="1" ht="12.6" customHeight="1" x14ac:dyDescent="0.2">
      <c r="A280" s="203" t="s">
        <v>10</v>
      </c>
      <c r="B280" s="12" t="s">
        <v>8</v>
      </c>
      <c r="C280" s="11">
        <f>C258</f>
        <v>1</v>
      </c>
      <c r="D280" s="303">
        <v>2900</v>
      </c>
      <c r="E280" s="13">
        <f>C280*D280</f>
        <v>2900</v>
      </c>
      <c r="F280" s="219"/>
    </row>
    <row r="281" spans="1:6" s="4" customFormat="1" ht="13.5" thickBot="1" x14ac:dyDescent="0.25">
      <c r="A281" s="204" t="s">
        <v>11</v>
      </c>
      <c r="B281" s="51" t="s">
        <v>6</v>
      </c>
      <c r="C281" s="51">
        <v>12</v>
      </c>
      <c r="D281" s="52">
        <f>SUM(E278:E280)</f>
        <v>6113.7767999999996</v>
      </c>
      <c r="E281" s="52">
        <f>D281/C281</f>
        <v>509.48139999999995</v>
      </c>
      <c r="F281" s="61"/>
    </row>
    <row r="282" spans="1:6" s="4" customFormat="1" ht="13.5" thickBot="1" x14ac:dyDescent="0.25">
      <c r="A282" s="192"/>
      <c r="B282" s="32"/>
      <c r="C282" s="32"/>
      <c r="D282" s="188" t="s">
        <v>143</v>
      </c>
      <c r="E282" s="29">
        <f>E275</f>
        <v>8.3299999999999999E-2</v>
      </c>
      <c r="F282" s="57">
        <f>ROUND((E281*E282),2)</f>
        <v>42.44</v>
      </c>
    </row>
    <row r="283" spans="1:6" x14ac:dyDescent="0.2">
      <c r="A283" s="192"/>
      <c r="B283" s="32"/>
      <c r="C283" s="32"/>
      <c r="D283" s="35"/>
      <c r="E283" s="35"/>
      <c r="F283" s="61"/>
    </row>
    <row r="284" spans="1:6" x14ac:dyDescent="0.2">
      <c r="A284" s="196" t="s">
        <v>202</v>
      </c>
      <c r="B284" s="191"/>
      <c r="C284" s="32"/>
      <c r="D284" s="35"/>
      <c r="E284" s="35"/>
      <c r="F284" s="61"/>
    </row>
    <row r="285" spans="1:6" x14ac:dyDescent="0.2">
      <c r="A285" s="215" t="s">
        <v>198</v>
      </c>
      <c r="B285" s="337">
        <v>200</v>
      </c>
      <c r="C285" s="32"/>
      <c r="D285" s="35"/>
      <c r="E285" s="35"/>
      <c r="F285" s="61"/>
    </row>
    <row r="286" spans="1:6" ht="13.5" thickBot="1" x14ac:dyDescent="0.25">
      <c r="A286" s="192"/>
      <c r="B286" s="191"/>
      <c r="C286" s="32"/>
      <c r="D286" s="35"/>
      <c r="E286" s="35"/>
      <c r="F286" s="61"/>
    </row>
    <row r="287" spans="1:6" ht="13.5" thickBot="1" x14ac:dyDescent="0.25">
      <c r="A287" s="36" t="s">
        <v>48</v>
      </c>
      <c r="B287" s="37" t="s">
        <v>49</v>
      </c>
      <c r="C287" s="37" t="s">
        <v>174</v>
      </c>
      <c r="D287" s="38" t="s">
        <v>166</v>
      </c>
      <c r="E287" s="38" t="s">
        <v>50</v>
      </c>
      <c r="F287" s="39" t="s">
        <v>51</v>
      </c>
    </row>
    <row r="288" spans="1:6" x14ac:dyDescent="0.2">
      <c r="A288" s="209" t="s">
        <v>12</v>
      </c>
      <c r="B288" s="10" t="s">
        <v>13</v>
      </c>
      <c r="C288" s="338">
        <v>1.5</v>
      </c>
      <c r="D288" s="339">
        <v>5.39</v>
      </c>
      <c r="E288" s="11"/>
      <c r="F288" s="61"/>
    </row>
    <row r="289" spans="1:6" x14ac:dyDescent="0.2">
      <c r="A289" s="203" t="s">
        <v>14</v>
      </c>
      <c r="B289" s="12" t="s">
        <v>15</v>
      </c>
      <c r="C289" s="320">
        <f>B285</f>
        <v>200</v>
      </c>
      <c r="D289" s="339">
        <f>IFERROR(+D288/C288,"-")</f>
        <v>3.5933333333333333</v>
      </c>
      <c r="E289" s="13">
        <f>IFERROR(C289*D289,"-")</f>
        <v>718.66666666666663</v>
      </c>
      <c r="F289" s="61"/>
    </row>
    <row r="290" spans="1:6" x14ac:dyDescent="0.2">
      <c r="A290" s="207" t="s">
        <v>207</v>
      </c>
      <c r="B290" s="178" t="s">
        <v>13</v>
      </c>
      <c r="C290" s="338">
        <v>90</v>
      </c>
      <c r="D290" s="339">
        <v>3.5</v>
      </c>
      <c r="E290" s="13"/>
      <c r="F290" s="61"/>
    </row>
    <row r="291" spans="1:6" x14ac:dyDescent="0.2">
      <c r="A291" s="207" t="s">
        <v>272</v>
      </c>
      <c r="B291" s="178" t="s">
        <v>273</v>
      </c>
      <c r="C291" s="340">
        <f>C289</f>
        <v>200</v>
      </c>
      <c r="D291" s="341">
        <f>IFERROR(+D290/C290,"-")</f>
        <v>3.888888888888889E-2</v>
      </c>
      <c r="E291" s="234">
        <f>IFERROR(C291*D291,"-")</f>
        <v>7.7777777777777777</v>
      </c>
      <c r="F291" s="231"/>
    </row>
    <row r="292" spans="1:6" x14ac:dyDescent="0.2">
      <c r="A292" s="203" t="s">
        <v>167</v>
      </c>
      <c r="B292" s="12" t="s">
        <v>16</v>
      </c>
      <c r="C292" s="331">
        <v>2.5</v>
      </c>
      <c r="D292" s="308">
        <v>20</v>
      </c>
      <c r="E292" s="13"/>
      <c r="F292" s="61"/>
    </row>
    <row r="293" spans="1:6" x14ac:dyDescent="0.2">
      <c r="A293" s="203" t="s">
        <v>17</v>
      </c>
      <c r="B293" s="12" t="s">
        <v>15</v>
      </c>
      <c r="C293" s="320">
        <f>C289</f>
        <v>200</v>
      </c>
      <c r="D293" s="342">
        <f>+C292*D292/1000</f>
        <v>0.05</v>
      </c>
      <c r="E293" s="13">
        <f>C293*D293</f>
        <v>10</v>
      </c>
      <c r="F293" s="61"/>
    </row>
    <row r="294" spans="1:6" x14ac:dyDescent="0.2">
      <c r="A294" s="203" t="s">
        <v>168</v>
      </c>
      <c r="B294" s="12" t="s">
        <v>16</v>
      </c>
      <c r="C294" s="331">
        <v>0.3</v>
      </c>
      <c r="D294" s="308">
        <v>25</v>
      </c>
      <c r="E294" s="13"/>
      <c r="F294" s="61"/>
    </row>
    <row r="295" spans="1:6" x14ac:dyDescent="0.2">
      <c r="A295" s="203" t="s">
        <v>18</v>
      </c>
      <c r="B295" s="12" t="s">
        <v>15</v>
      </c>
      <c r="C295" s="320">
        <f>C289</f>
        <v>200</v>
      </c>
      <c r="D295" s="342">
        <f>+C294*D294/1000</f>
        <v>7.4999999999999997E-3</v>
      </c>
      <c r="E295" s="13">
        <f>C295*D295</f>
        <v>1.5</v>
      </c>
      <c r="F295" s="61"/>
    </row>
    <row r="296" spans="1:6" x14ac:dyDescent="0.2">
      <c r="A296" s="203" t="s">
        <v>169</v>
      </c>
      <c r="B296" s="12" t="s">
        <v>16</v>
      </c>
      <c r="C296" s="331">
        <v>4</v>
      </c>
      <c r="D296" s="308">
        <v>15.75</v>
      </c>
      <c r="E296" s="13"/>
      <c r="F296" s="61"/>
    </row>
    <row r="297" spans="1:6" x14ac:dyDescent="0.2">
      <c r="A297" s="203" t="s">
        <v>19</v>
      </c>
      <c r="B297" s="12" t="s">
        <v>15</v>
      </c>
      <c r="C297" s="320">
        <f>C289</f>
        <v>200</v>
      </c>
      <c r="D297" s="342">
        <f>+C296*D296/1000</f>
        <v>6.3E-2</v>
      </c>
      <c r="E297" s="13">
        <f>C297*D297</f>
        <v>12.6</v>
      </c>
      <c r="F297" s="61"/>
    </row>
    <row r="298" spans="1:6" x14ac:dyDescent="0.2">
      <c r="A298" s="203" t="s">
        <v>20</v>
      </c>
      <c r="B298" s="12" t="s">
        <v>21</v>
      </c>
      <c r="C298" s="331">
        <v>2</v>
      </c>
      <c r="D298" s="308">
        <v>23.65</v>
      </c>
      <c r="E298" s="13"/>
      <c r="F298" s="61"/>
    </row>
    <row r="299" spans="1:6" x14ac:dyDescent="0.2">
      <c r="A299" s="203" t="s">
        <v>22</v>
      </c>
      <c r="B299" s="12" t="s">
        <v>15</v>
      </c>
      <c r="C299" s="320">
        <f>C289</f>
        <v>200</v>
      </c>
      <c r="D299" s="342">
        <f>+C298*D298/1000</f>
        <v>4.7299999999999995E-2</v>
      </c>
      <c r="E299" s="13">
        <f>C299*D299</f>
        <v>9.4599999999999991</v>
      </c>
      <c r="F299" s="61"/>
    </row>
    <row r="300" spans="1:6" ht="13.5" thickBot="1" x14ac:dyDescent="0.25">
      <c r="A300" s="279" t="s">
        <v>173</v>
      </c>
      <c r="B300" s="51" t="s">
        <v>87</v>
      </c>
      <c r="C300" s="343"/>
      <c r="D300" s="344">
        <f>IFERROR(D289+D291+D293+D295+D297+D299,0)</f>
        <v>3.8000222222222217</v>
      </c>
      <c r="E300" s="13"/>
      <c r="F300" s="61"/>
    </row>
    <row r="301" spans="1:6" ht="13.5" thickBot="1" x14ac:dyDescent="0.25">
      <c r="A301" s="24"/>
      <c r="B301" s="187"/>
      <c r="C301" s="389"/>
      <c r="D301" s="390"/>
      <c r="E301" s="281"/>
      <c r="F301" s="14">
        <f>ROUND(SUM(E288:E299),2)</f>
        <v>760</v>
      </c>
    </row>
    <row r="302" spans="1:6" x14ac:dyDescent="0.2">
      <c r="A302" s="192"/>
      <c r="B302" s="32"/>
      <c r="C302" s="32"/>
      <c r="D302" s="35"/>
      <c r="E302" s="35"/>
      <c r="F302" s="61"/>
    </row>
    <row r="303" spans="1:6" ht="13.5" thickBot="1" x14ac:dyDescent="0.25">
      <c r="A303" s="196" t="s">
        <v>203</v>
      </c>
      <c r="B303" s="32"/>
      <c r="C303" s="32"/>
      <c r="D303" s="35"/>
      <c r="E303" s="35"/>
      <c r="F303" s="61"/>
    </row>
    <row r="304" spans="1:6" ht="13.5" thickBot="1" x14ac:dyDescent="0.25">
      <c r="A304" s="36" t="s">
        <v>48</v>
      </c>
      <c r="B304" s="37" t="s">
        <v>49</v>
      </c>
      <c r="C304" s="37" t="s">
        <v>30</v>
      </c>
      <c r="D304" s="38" t="s">
        <v>166</v>
      </c>
      <c r="E304" s="38" t="s">
        <v>50</v>
      </c>
      <c r="F304" s="39" t="s">
        <v>51</v>
      </c>
    </row>
    <row r="305" spans="1:6" x14ac:dyDescent="0.2">
      <c r="A305" s="209" t="s">
        <v>86</v>
      </c>
      <c r="B305" s="10" t="s">
        <v>87</v>
      </c>
      <c r="C305" s="320">
        <f>C289</f>
        <v>200</v>
      </c>
      <c r="D305" s="307">
        <v>0.92</v>
      </c>
      <c r="E305" s="11">
        <f>C305*D305</f>
        <v>184</v>
      </c>
      <c r="F305" s="61"/>
    </row>
    <row r="306" spans="1:6" ht="13.5" thickBot="1" x14ac:dyDescent="0.25">
      <c r="A306" s="202" t="s">
        <v>211</v>
      </c>
      <c r="B306" s="179" t="s">
        <v>212</v>
      </c>
      <c r="C306" s="340">
        <v>1</v>
      </c>
      <c r="D306" s="307">
        <v>120</v>
      </c>
      <c r="E306" s="11">
        <f>C306*D306</f>
        <v>120</v>
      </c>
      <c r="F306" s="6"/>
    </row>
    <row r="307" spans="1:6" ht="13.5" thickBot="1" x14ac:dyDescent="0.25">
      <c r="A307" s="192"/>
      <c r="B307" s="32"/>
      <c r="C307" s="32"/>
      <c r="D307" s="35"/>
      <c r="E307" s="35"/>
      <c r="F307" s="14">
        <f>SUM(E305:E306)</f>
        <v>304</v>
      </c>
    </row>
    <row r="308" spans="1:6" x14ac:dyDescent="0.2">
      <c r="A308" s="192"/>
      <c r="B308" s="32"/>
      <c r="C308" s="32"/>
      <c r="D308" s="35"/>
      <c r="E308" s="35"/>
      <c r="F308" s="61"/>
    </row>
    <row r="309" spans="1:6" ht="13.5" thickBot="1" x14ac:dyDescent="0.25">
      <c r="A309" s="196" t="s">
        <v>204</v>
      </c>
      <c r="B309" s="32"/>
      <c r="C309" s="32"/>
      <c r="D309" s="35"/>
      <c r="E309" s="35"/>
      <c r="F309" s="61"/>
    </row>
    <row r="310" spans="1:6" ht="13.5" thickBot="1" x14ac:dyDescent="0.25">
      <c r="A310" s="36" t="s">
        <v>48</v>
      </c>
      <c r="B310" s="37" t="s">
        <v>49</v>
      </c>
      <c r="C310" s="37" t="s">
        <v>30</v>
      </c>
      <c r="D310" s="38" t="s">
        <v>166</v>
      </c>
      <c r="E310" s="38" t="s">
        <v>50</v>
      </c>
      <c r="F310" s="39" t="s">
        <v>51</v>
      </c>
    </row>
    <row r="311" spans="1:6" x14ac:dyDescent="0.2">
      <c r="A311" s="198" t="s">
        <v>284</v>
      </c>
      <c r="B311" s="10" t="s">
        <v>8</v>
      </c>
      <c r="C311" s="345">
        <v>6</v>
      </c>
      <c r="D311" s="323">
        <v>2067.42</v>
      </c>
      <c r="E311" s="11">
        <f>C311*D311</f>
        <v>12404.52</v>
      </c>
      <c r="F311" s="61"/>
    </row>
    <row r="312" spans="1:6" x14ac:dyDescent="0.2">
      <c r="A312" s="209" t="s">
        <v>88</v>
      </c>
      <c r="B312" s="10" t="s">
        <v>8</v>
      </c>
      <c r="C312" s="345">
        <v>2</v>
      </c>
      <c r="D312" s="323"/>
      <c r="E312" s="11"/>
      <c r="F312" s="61"/>
    </row>
    <row r="313" spans="1:6" x14ac:dyDescent="0.2">
      <c r="A313" s="209" t="s">
        <v>52</v>
      </c>
      <c r="B313" s="10" t="s">
        <v>8</v>
      </c>
      <c r="C313" s="323">
        <f>C311*C312</f>
        <v>12</v>
      </c>
      <c r="D313" s="323">
        <v>413.48</v>
      </c>
      <c r="E313" s="11">
        <f>C313*D313</f>
        <v>4961.76</v>
      </c>
      <c r="F313" s="61"/>
    </row>
    <row r="314" spans="1:6" x14ac:dyDescent="0.2">
      <c r="A314" s="214" t="s">
        <v>268</v>
      </c>
      <c r="B314" s="12" t="s">
        <v>23</v>
      </c>
      <c r="C314" s="350">
        <v>80000</v>
      </c>
      <c r="D314" s="303">
        <f>E311+E313</f>
        <v>17366.28</v>
      </c>
      <c r="E314" s="13">
        <f>IFERROR(D314/C314,"-")</f>
        <v>0.21707849999999998</v>
      </c>
      <c r="F314" s="61"/>
    </row>
    <row r="315" spans="1:6" ht="13.5" thickBot="1" x14ac:dyDescent="0.25">
      <c r="A315" s="283" t="s">
        <v>43</v>
      </c>
      <c r="B315" s="12" t="s">
        <v>15</v>
      </c>
      <c r="C315" s="320">
        <f>B285</f>
        <v>200</v>
      </c>
      <c r="D315" s="308">
        <f>E314</f>
        <v>0.21707849999999998</v>
      </c>
      <c r="E315" s="13">
        <f>IFERROR(C315*D315,0)</f>
        <v>43.415699999999994</v>
      </c>
      <c r="F315" s="61"/>
    </row>
    <row r="316" spans="1:6" ht="13.5" thickBot="1" x14ac:dyDescent="0.25">
      <c r="A316" s="24"/>
      <c r="B316" s="187"/>
      <c r="C316" s="389"/>
      <c r="D316" s="390"/>
      <c r="E316" s="281"/>
      <c r="F316" s="48">
        <f>ROUND((E315),2)</f>
        <v>43.42</v>
      </c>
    </row>
    <row r="317" spans="1:6" x14ac:dyDescent="0.2">
      <c r="A317" s="196"/>
      <c r="B317" s="187"/>
      <c r="C317" s="274"/>
      <c r="D317" s="275"/>
      <c r="E317" s="276"/>
      <c r="F317" s="277"/>
    </row>
    <row r="318" spans="1:6" x14ac:dyDescent="0.2">
      <c r="A318" s="197" t="s">
        <v>311</v>
      </c>
      <c r="B318" s="32"/>
      <c r="C318" s="32"/>
      <c r="D318" s="35"/>
      <c r="E318" s="35"/>
      <c r="F318" s="61"/>
    </row>
    <row r="319" spans="1:6" ht="13.5" thickBot="1" x14ac:dyDescent="0.25">
      <c r="A319" s="220" t="s">
        <v>287</v>
      </c>
      <c r="B319" s="32"/>
      <c r="C319" s="32"/>
      <c r="D319" s="35"/>
      <c r="E319" s="35"/>
      <c r="F319" s="61"/>
    </row>
    <row r="320" spans="1:6" ht="13.5" thickBot="1" x14ac:dyDescent="0.25">
      <c r="A320" s="36" t="s">
        <v>48</v>
      </c>
      <c r="B320" s="37" t="s">
        <v>49</v>
      </c>
      <c r="C320" s="37" t="s">
        <v>30</v>
      </c>
      <c r="D320" s="38" t="s">
        <v>166</v>
      </c>
      <c r="E320" s="38" t="s">
        <v>50</v>
      </c>
      <c r="F320" s="39" t="s">
        <v>51</v>
      </c>
    </row>
    <row r="321" spans="1:6" x14ac:dyDescent="0.2">
      <c r="A321" s="198" t="s">
        <v>289</v>
      </c>
      <c r="B321" s="10" t="s">
        <v>8</v>
      </c>
      <c r="C321" s="345">
        <v>1</v>
      </c>
      <c r="D321" s="379">
        <f>8240*1.0490256</f>
        <v>8643.9709440000006</v>
      </c>
      <c r="E321" s="11">
        <f>C321*D321</f>
        <v>8643.9709440000006</v>
      </c>
      <c r="F321" s="61"/>
    </row>
    <row r="322" spans="1:6" x14ac:dyDescent="0.2">
      <c r="A322" s="214" t="s">
        <v>290</v>
      </c>
      <c r="B322" s="12" t="s">
        <v>76</v>
      </c>
      <c r="C322" s="311">
        <v>5</v>
      </c>
      <c r="D322" s="303"/>
      <c r="E322" s="13"/>
      <c r="F322" s="61"/>
    </row>
    <row r="323" spans="1:6" x14ac:dyDescent="0.2">
      <c r="A323" s="214" t="s">
        <v>291</v>
      </c>
      <c r="B323" s="12" t="s">
        <v>76</v>
      </c>
      <c r="C323" s="333">
        <v>0</v>
      </c>
      <c r="D323" s="303"/>
      <c r="E323" s="13"/>
      <c r="F323" s="211"/>
    </row>
    <row r="324" spans="1:6" x14ac:dyDescent="0.2">
      <c r="A324" s="214" t="s">
        <v>292</v>
      </c>
      <c r="B324" s="12" t="s">
        <v>2</v>
      </c>
      <c r="C324" s="319">
        <f>IFERROR(VLOOKUP(C322,'5. Depreciação'!A$3:B$17,2,FALSE),0)</f>
        <v>55.68</v>
      </c>
      <c r="D324" s="308">
        <f>E321</f>
        <v>8643.9709440000006</v>
      </c>
      <c r="E324" s="13">
        <f>C324*D324/100</f>
        <v>4812.9630216192008</v>
      </c>
      <c r="F324" s="61"/>
    </row>
    <row r="325" spans="1:6" ht="13.5" thickBot="1" x14ac:dyDescent="0.25">
      <c r="A325" s="221" t="s">
        <v>293</v>
      </c>
      <c r="B325" s="160" t="s">
        <v>6</v>
      </c>
      <c r="C325" s="334">
        <f>C322*12</f>
        <v>60</v>
      </c>
      <c r="D325" s="335">
        <f>IF(C323&lt;=C322,E324,0)</f>
        <v>4812.9630216192008</v>
      </c>
      <c r="E325" s="161">
        <f>IFERROR(D325/C325,0)</f>
        <v>80.216050360320011</v>
      </c>
      <c r="F325" s="61"/>
    </row>
    <row r="326" spans="1:6" ht="13.5" thickTop="1" x14ac:dyDescent="0.2">
      <c r="A326" s="222" t="s">
        <v>294</v>
      </c>
      <c r="B326" s="154"/>
      <c r="C326" s="315"/>
      <c r="D326" s="316"/>
      <c r="E326" s="52">
        <f>E325</f>
        <v>80.216050360320011</v>
      </c>
      <c r="F326" s="61"/>
    </row>
    <row r="327" spans="1:6" ht="13.5" thickBot="1" x14ac:dyDescent="0.25">
      <c r="A327" s="215" t="s">
        <v>295</v>
      </c>
      <c r="B327" s="51" t="s">
        <v>8</v>
      </c>
      <c r="C327" s="330">
        <v>90</v>
      </c>
      <c r="D327" s="314">
        <f>E326</f>
        <v>80.216050360320011</v>
      </c>
      <c r="E327" s="55">
        <f>C327*D327</f>
        <v>7219.4445324288008</v>
      </c>
      <c r="F327" s="61"/>
    </row>
    <row r="328" spans="1:6" ht="13.5" thickBot="1" x14ac:dyDescent="0.25">
      <c r="A328" s="216"/>
      <c r="B328" s="156"/>
      <c r="C328" s="156"/>
      <c r="D328" s="188" t="s">
        <v>143</v>
      </c>
      <c r="E328" s="229">
        <v>1</v>
      </c>
      <c r="F328" s="48">
        <f>ROUND((E327),2)*E328</f>
        <v>7219.44</v>
      </c>
    </row>
    <row r="329" spans="1:6" x14ac:dyDescent="0.2">
      <c r="A329" s="192"/>
      <c r="B329" s="32"/>
      <c r="C329" s="32"/>
      <c r="D329" s="35"/>
      <c r="E329" s="35"/>
      <c r="F329" s="61"/>
    </row>
    <row r="330" spans="1:6" ht="13.5" thickBot="1" x14ac:dyDescent="0.25">
      <c r="A330" s="220" t="s">
        <v>288</v>
      </c>
      <c r="B330" s="32"/>
      <c r="C330" s="32"/>
      <c r="D330" s="35"/>
      <c r="E330" s="35"/>
      <c r="F330" s="61"/>
    </row>
    <row r="331" spans="1:6" ht="13.5" thickBot="1" x14ac:dyDescent="0.25">
      <c r="A331" s="36" t="s">
        <v>48</v>
      </c>
      <c r="B331" s="37" t="s">
        <v>49</v>
      </c>
      <c r="C331" s="37" t="s">
        <v>30</v>
      </c>
      <c r="D331" s="38" t="s">
        <v>166</v>
      </c>
      <c r="E331" s="238" t="s">
        <v>50</v>
      </c>
      <c r="F331" s="237" t="s">
        <v>51</v>
      </c>
    </row>
    <row r="332" spans="1:6" x14ac:dyDescent="0.2">
      <c r="A332" s="198" t="s">
        <v>296</v>
      </c>
      <c r="B332" s="10" t="s">
        <v>8</v>
      </c>
      <c r="C332" s="157">
        <v>1</v>
      </c>
      <c r="D332" s="11">
        <f>D321</f>
        <v>8643.9709440000006</v>
      </c>
      <c r="E332" s="11">
        <f>C332*D332</f>
        <v>8643.9709440000006</v>
      </c>
      <c r="F332" s="211"/>
    </row>
    <row r="333" spans="1:6" x14ac:dyDescent="0.2">
      <c r="A333" s="199" t="s">
        <v>151</v>
      </c>
      <c r="B333" s="12" t="s">
        <v>2</v>
      </c>
      <c r="C333" s="158">
        <v>9.25</v>
      </c>
      <c r="D333" s="13"/>
      <c r="E333" s="13"/>
      <c r="F333" s="211"/>
    </row>
    <row r="334" spans="1:6" x14ac:dyDescent="0.2">
      <c r="A334" s="214" t="s">
        <v>297</v>
      </c>
      <c r="B334" s="12" t="s">
        <v>24</v>
      </c>
      <c r="C334" s="65">
        <f>IFERROR(IF(C323&lt;=C322,E321-(C324/(100*C322)*C323)*E321,E321-E324),0)</f>
        <v>8643.9709440000006</v>
      </c>
      <c r="D334" s="13"/>
      <c r="E334" s="13"/>
      <c r="F334" s="211"/>
    </row>
    <row r="335" spans="1:6" x14ac:dyDescent="0.2">
      <c r="A335" s="214" t="s">
        <v>298</v>
      </c>
      <c r="B335" s="12" t="s">
        <v>24</v>
      </c>
      <c r="C335" s="49">
        <f>IFERROR(IF(C323&gt;=C322,C334,((((C334)-(E321-E324))*(((C322-C323)+1)/(2*(C322-C323))))+(E321-E324))),0)</f>
        <v>6718.7857353523195</v>
      </c>
      <c r="D335" s="13"/>
      <c r="E335" s="13"/>
      <c r="F335" s="211"/>
    </row>
    <row r="336" spans="1:6" ht="13.5" thickBot="1" x14ac:dyDescent="0.25">
      <c r="A336" s="221" t="s">
        <v>299</v>
      </c>
      <c r="B336" s="160" t="s">
        <v>24</v>
      </c>
      <c r="C336" s="160"/>
      <c r="D336" s="162">
        <f>C333*C335/12/100</f>
        <v>51.790640043340801</v>
      </c>
      <c r="E336" s="161">
        <f>D336</f>
        <v>51.790640043340801</v>
      </c>
      <c r="F336" s="211"/>
    </row>
    <row r="337" spans="1:6" ht="13.5" thickTop="1" x14ac:dyDescent="0.2">
      <c r="A337" s="200" t="s">
        <v>300</v>
      </c>
      <c r="B337" s="187"/>
      <c r="C337" s="187"/>
      <c r="D337" s="23"/>
      <c r="E337" s="55">
        <f>E336</f>
        <v>51.790640043340801</v>
      </c>
      <c r="F337" s="211"/>
    </row>
    <row r="338" spans="1:6" ht="13.5" thickBot="1" x14ac:dyDescent="0.25">
      <c r="A338" s="215" t="s">
        <v>295</v>
      </c>
      <c r="B338" s="51" t="s">
        <v>8</v>
      </c>
      <c r="C338" s="158">
        <f>C327</f>
        <v>90</v>
      </c>
      <c r="D338" s="52">
        <f>E337</f>
        <v>51.790640043340801</v>
      </c>
      <c r="E338" s="55">
        <f>C338*D338</f>
        <v>4661.1576039006723</v>
      </c>
      <c r="F338" s="211"/>
    </row>
    <row r="339" spans="1:6" ht="13.5" thickBot="1" x14ac:dyDescent="0.25">
      <c r="A339" s="192"/>
      <c r="B339" s="32"/>
      <c r="C339" s="190"/>
      <c r="D339" s="188" t="s">
        <v>143</v>
      </c>
      <c r="E339" s="229">
        <v>1</v>
      </c>
      <c r="F339" s="14">
        <f>ROUND((E338*E339),2)</f>
        <v>4661.16</v>
      </c>
    </row>
    <row r="340" spans="1:6" x14ac:dyDescent="0.2">
      <c r="A340" s="192"/>
      <c r="B340" s="32"/>
      <c r="C340" s="32"/>
      <c r="D340" s="35"/>
      <c r="E340" s="35"/>
      <c r="F340" s="61"/>
    </row>
    <row r="341" spans="1:6" ht="13.5" thickBot="1" x14ac:dyDescent="0.25">
      <c r="A341" s="197" t="s">
        <v>312</v>
      </c>
      <c r="B341" s="32"/>
      <c r="C341" s="32"/>
      <c r="D341" s="35"/>
      <c r="E341" s="35"/>
      <c r="F341" s="61"/>
    </row>
    <row r="342" spans="1:6" ht="13.5" thickBot="1" x14ac:dyDescent="0.25">
      <c r="A342" s="286" t="s">
        <v>48</v>
      </c>
      <c r="B342" s="287" t="s">
        <v>49</v>
      </c>
      <c r="C342" s="287" t="s">
        <v>30</v>
      </c>
      <c r="D342" s="288" t="s">
        <v>166</v>
      </c>
      <c r="E342" s="288" t="s">
        <v>50</v>
      </c>
      <c r="F342" s="39" t="s">
        <v>51</v>
      </c>
    </row>
    <row r="343" spans="1:6" ht="13.5" thickBot="1" x14ac:dyDescent="0.25">
      <c r="A343" s="289" t="s">
        <v>301</v>
      </c>
      <c r="B343" s="178" t="s">
        <v>302</v>
      </c>
      <c r="C343" s="50">
        <f>C338</f>
        <v>90</v>
      </c>
      <c r="D343" s="308">
        <v>12.5</v>
      </c>
      <c r="E343" s="13">
        <f>C343*D343</f>
        <v>1125</v>
      </c>
      <c r="F343" s="61"/>
    </row>
    <row r="344" spans="1:6" ht="13.5" thickBot="1" x14ac:dyDescent="0.25">
      <c r="A344" s="24"/>
      <c r="B344" s="187"/>
      <c r="C344" s="389"/>
      <c r="D344" s="390"/>
      <c r="E344" s="281"/>
      <c r="F344" s="48">
        <f>ROUND((E343),2)</f>
        <v>1125</v>
      </c>
    </row>
    <row r="345" spans="1:6" ht="13.5" thickBot="1" x14ac:dyDescent="0.25">
      <c r="A345" s="192"/>
      <c r="B345" s="32"/>
      <c r="C345" s="32"/>
      <c r="D345" s="35"/>
      <c r="E345" s="35"/>
      <c r="F345" s="61"/>
    </row>
    <row r="346" spans="1:6" ht="13.5" thickBot="1" x14ac:dyDescent="0.25">
      <c r="A346" s="16" t="s">
        <v>303</v>
      </c>
      <c r="B346" s="17"/>
      <c r="C346" s="17"/>
      <c r="D346" s="18"/>
      <c r="E346" s="19"/>
      <c r="F346" s="14">
        <f>F316+F307+F301+F282+F275+F259+F242+F233+F227+F208+F201+F185+F344+F339+F328</f>
        <v>25281.4388</v>
      </c>
    </row>
    <row r="347" spans="1:6" x14ac:dyDescent="0.2">
      <c r="A347" s="192"/>
      <c r="B347" s="32"/>
      <c r="C347" s="32"/>
      <c r="D347" s="35"/>
      <c r="E347" s="35"/>
      <c r="F347" s="61"/>
    </row>
    <row r="348" spans="1:6" x14ac:dyDescent="0.2">
      <c r="A348" s="192"/>
      <c r="B348" s="32"/>
      <c r="C348" s="32"/>
      <c r="D348" s="35"/>
      <c r="E348" s="35"/>
      <c r="F348" s="61"/>
    </row>
    <row r="349" spans="1:6" x14ac:dyDescent="0.2">
      <c r="A349" s="196" t="s">
        <v>54</v>
      </c>
      <c r="B349" s="24"/>
      <c r="C349" s="24"/>
      <c r="D349" s="25"/>
      <c r="E349" s="25"/>
      <c r="F349" s="223"/>
    </row>
    <row r="350" spans="1:6" ht="13.5" thickBot="1" x14ac:dyDescent="0.25">
      <c r="A350" s="192"/>
      <c r="B350" s="32"/>
      <c r="C350" s="32"/>
      <c r="D350" s="35"/>
      <c r="E350" s="35"/>
      <c r="F350" s="61"/>
    </row>
    <row r="351" spans="1:6" ht="13.5" thickBot="1" x14ac:dyDescent="0.25">
      <c r="A351" s="36" t="s">
        <v>48</v>
      </c>
      <c r="B351" s="37" t="s">
        <v>49</v>
      </c>
      <c r="C351" s="37" t="s">
        <v>30</v>
      </c>
      <c r="D351" s="38" t="s">
        <v>166</v>
      </c>
      <c r="E351" s="38" t="s">
        <v>50</v>
      </c>
      <c r="F351" s="39" t="s">
        <v>51</v>
      </c>
    </row>
    <row r="352" spans="1:6" x14ac:dyDescent="0.2">
      <c r="A352" s="207" t="s">
        <v>261</v>
      </c>
      <c r="B352" s="178" t="s">
        <v>213</v>
      </c>
      <c r="C352" s="351">
        <f>1/12</f>
        <v>8.3333333333333329E-2</v>
      </c>
      <c r="D352" s="323">
        <v>36.33</v>
      </c>
      <c r="E352" s="13">
        <f>C352*D352</f>
        <v>3.0274999999999999</v>
      </c>
      <c r="F352" s="224"/>
    </row>
    <row r="353" spans="1:6" x14ac:dyDescent="0.2">
      <c r="A353" s="207" t="s">
        <v>265</v>
      </c>
      <c r="B353" s="178" t="s">
        <v>213</v>
      </c>
      <c r="C353" s="351">
        <f>2/12</f>
        <v>0.16666666666666666</v>
      </c>
      <c r="D353" s="323">
        <v>25.62</v>
      </c>
      <c r="E353" s="13">
        <f>C353*D353</f>
        <v>4.2699999999999996</v>
      </c>
      <c r="F353" s="224"/>
    </row>
    <row r="354" spans="1:6" x14ac:dyDescent="0.2">
      <c r="A354" s="207" t="s">
        <v>266</v>
      </c>
      <c r="B354" s="178" t="s">
        <v>213</v>
      </c>
      <c r="C354" s="351">
        <f>2/12</f>
        <v>0.16666666666666666</v>
      </c>
      <c r="D354" s="323">
        <v>22.03</v>
      </c>
      <c r="E354" s="13">
        <f>C354*D354</f>
        <v>3.6716666666666669</v>
      </c>
      <c r="F354" s="224"/>
    </row>
    <row r="355" spans="1:6" x14ac:dyDescent="0.2">
      <c r="A355" s="207" t="s">
        <v>262</v>
      </c>
      <c r="B355" s="178" t="s">
        <v>213</v>
      </c>
      <c r="C355" s="351">
        <f>2/12</f>
        <v>0.16666666666666666</v>
      </c>
      <c r="D355" s="323">
        <v>22.03</v>
      </c>
      <c r="E355" s="13">
        <f>C355*D355</f>
        <v>3.6716666666666669</v>
      </c>
      <c r="F355" s="224"/>
    </row>
    <row r="356" spans="1:6" x14ac:dyDescent="0.2">
      <c r="A356" s="207" t="s">
        <v>263</v>
      </c>
      <c r="B356" s="178" t="s">
        <v>213</v>
      </c>
      <c r="C356" s="351">
        <f>2/12</f>
        <v>0.16666666666666666</v>
      </c>
      <c r="D356" s="323">
        <v>14.3</v>
      </c>
      <c r="E356" s="13">
        <f t="shared" ref="E356:E357" si="8">C356*D356</f>
        <v>2.3833333333333333</v>
      </c>
      <c r="F356" s="224"/>
    </row>
    <row r="357" spans="1:6" ht="13.5" thickBot="1" x14ac:dyDescent="0.25">
      <c r="A357" s="207" t="s">
        <v>264</v>
      </c>
      <c r="B357" s="178" t="s">
        <v>213</v>
      </c>
      <c r="C357" s="351">
        <f>2/12</f>
        <v>0.16666666666666666</v>
      </c>
      <c r="D357" s="323">
        <v>14.9</v>
      </c>
      <c r="E357" s="13">
        <f t="shared" si="8"/>
        <v>2.4833333333333334</v>
      </c>
      <c r="F357" s="224"/>
    </row>
    <row r="358" spans="1:6" ht="13.5" thickBot="1" x14ac:dyDescent="0.25">
      <c r="A358" s="196"/>
      <c r="B358" s="24"/>
      <c r="C358" s="352"/>
      <c r="D358" s="352"/>
      <c r="E358" s="25"/>
      <c r="F358" s="14">
        <f>ROUND(SUM(E352:E357),2)</f>
        <v>19.510000000000002</v>
      </c>
    </row>
    <row r="359" spans="1:6" ht="13.5" thickBot="1" x14ac:dyDescent="0.25">
      <c r="A359" s="192"/>
      <c r="B359" s="32"/>
      <c r="C359" s="32"/>
      <c r="D359" s="35"/>
      <c r="E359" s="35"/>
      <c r="F359" s="61"/>
    </row>
    <row r="360" spans="1:6" ht="13.5" thickBot="1" x14ac:dyDescent="0.25">
      <c r="A360" s="16" t="s">
        <v>159</v>
      </c>
      <c r="B360" s="17"/>
      <c r="C360" s="17"/>
      <c r="D360" s="18"/>
      <c r="E360" s="19"/>
      <c r="F360" s="14">
        <f>+F358</f>
        <v>19.510000000000002</v>
      </c>
    </row>
    <row r="361" spans="1:6" x14ac:dyDescent="0.2">
      <c r="A361" s="192"/>
      <c r="B361" s="32"/>
      <c r="C361" s="32"/>
      <c r="D361" s="35"/>
      <c r="E361" s="35"/>
      <c r="F361" s="61"/>
    </row>
    <row r="362" spans="1:6" x14ac:dyDescent="0.2">
      <c r="A362" s="196" t="s">
        <v>55</v>
      </c>
      <c r="B362" s="24"/>
      <c r="C362" s="24"/>
      <c r="D362" s="25"/>
      <c r="E362" s="25"/>
      <c r="F362" s="223"/>
    </row>
    <row r="363" spans="1:6" ht="13.5" thickBot="1" x14ac:dyDescent="0.25">
      <c r="A363" s="196" t="s">
        <v>216</v>
      </c>
      <c r="B363" s="32"/>
      <c r="C363" s="32"/>
      <c r="D363" s="35"/>
      <c r="E363" s="35"/>
      <c r="F363" s="61"/>
    </row>
    <row r="364" spans="1:6" ht="13.5" thickBot="1" x14ac:dyDescent="0.25">
      <c r="A364" s="36" t="s">
        <v>48</v>
      </c>
      <c r="B364" s="37" t="s">
        <v>49</v>
      </c>
      <c r="C364" s="37" t="s">
        <v>30</v>
      </c>
      <c r="D364" s="38" t="s">
        <v>166</v>
      </c>
      <c r="E364" s="38" t="s">
        <v>50</v>
      </c>
      <c r="F364" s="39" t="s">
        <v>51</v>
      </c>
    </row>
    <row r="365" spans="1:6" x14ac:dyDescent="0.2">
      <c r="A365" s="203" t="s">
        <v>157</v>
      </c>
      <c r="B365" s="31" t="s">
        <v>8</v>
      </c>
      <c r="C365" s="43">
        <v>1</v>
      </c>
      <c r="D365" s="308">
        <v>99</v>
      </c>
      <c r="E365" s="13">
        <f>+D365*C365</f>
        <v>99</v>
      </c>
      <c r="F365" s="224"/>
    </row>
    <row r="366" spans="1:6" x14ac:dyDescent="0.2">
      <c r="A366" s="203" t="s">
        <v>46</v>
      </c>
      <c r="B366" s="31" t="s">
        <v>6</v>
      </c>
      <c r="C366" s="71">
        <v>12</v>
      </c>
      <c r="D366" s="353">
        <f>SUM(E365:E365)</f>
        <v>99</v>
      </c>
      <c r="E366" s="46">
        <f>+D366/C366</f>
        <v>8.25</v>
      </c>
      <c r="F366" s="224"/>
    </row>
    <row r="367" spans="1:6" x14ac:dyDescent="0.2">
      <c r="A367" s="203" t="s">
        <v>158</v>
      </c>
      <c r="B367" s="12" t="s">
        <v>8</v>
      </c>
      <c r="C367" s="43">
        <f>+C365</f>
        <v>1</v>
      </c>
      <c r="D367" s="303">
        <v>69</v>
      </c>
      <c r="E367" s="13">
        <f>C367*D367</f>
        <v>69</v>
      </c>
      <c r="F367" s="224"/>
    </row>
    <row r="368" spans="1:6" ht="13.5" thickBot="1" x14ac:dyDescent="0.25">
      <c r="A368" s="203" t="s">
        <v>28</v>
      </c>
      <c r="B368" s="31" t="s">
        <v>6</v>
      </c>
      <c r="C368" s="71">
        <v>1</v>
      </c>
      <c r="D368" s="46">
        <f>+E367</f>
        <v>69</v>
      </c>
      <c r="E368" s="46">
        <f>+D368/C368</f>
        <v>69</v>
      </c>
      <c r="F368" s="224"/>
    </row>
    <row r="369" spans="1:6" ht="13.5" thickBot="1" x14ac:dyDescent="0.25">
      <c r="A369" s="225"/>
      <c r="B369" s="47"/>
      <c r="C369" s="47"/>
      <c r="D369" s="188" t="s">
        <v>143</v>
      </c>
      <c r="E369" s="266">
        <f>B52</f>
        <v>0.33329999999999999</v>
      </c>
      <c r="F369" s="48">
        <f>ROUND(((E366+E368)*E369),2)</f>
        <v>25.75</v>
      </c>
    </row>
    <row r="370" spans="1:6" x14ac:dyDescent="0.2">
      <c r="A370" s="192"/>
      <c r="B370" s="32"/>
      <c r="C370" s="32"/>
      <c r="D370" s="35"/>
      <c r="E370" s="35"/>
      <c r="F370" s="61"/>
    </row>
    <row r="371" spans="1:6" ht="13.5" thickBot="1" x14ac:dyDescent="0.25">
      <c r="A371" s="196" t="s">
        <v>313</v>
      </c>
      <c r="B371" s="32"/>
      <c r="C371" s="32"/>
      <c r="D371" s="35"/>
      <c r="E371" s="35"/>
      <c r="F371" s="61"/>
    </row>
    <row r="372" spans="1:6" ht="13.5" thickBot="1" x14ac:dyDescent="0.25">
      <c r="A372" s="36" t="s">
        <v>48</v>
      </c>
      <c r="B372" s="37" t="s">
        <v>49</v>
      </c>
      <c r="C372" s="37" t="s">
        <v>30</v>
      </c>
      <c r="D372" s="38" t="s">
        <v>166</v>
      </c>
      <c r="E372" s="38" t="s">
        <v>50</v>
      </c>
      <c r="F372" s="39" t="s">
        <v>51</v>
      </c>
    </row>
    <row r="373" spans="1:6" x14ac:dyDescent="0.2">
      <c r="A373" s="203" t="s">
        <v>157</v>
      </c>
      <c r="B373" s="31" t="s">
        <v>8</v>
      </c>
      <c r="C373" s="43">
        <v>1</v>
      </c>
      <c r="D373" s="49">
        <f>D365</f>
        <v>99</v>
      </c>
      <c r="E373" s="13">
        <f>+D373*C373</f>
        <v>99</v>
      </c>
      <c r="F373" s="224"/>
    </row>
    <row r="374" spans="1:6" x14ac:dyDescent="0.2">
      <c r="A374" s="203" t="s">
        <v>46</v>
      </c>
      <c r="B374" s="31" t="s">
        <v>6</v>
      </c>
      <c r="C374" s="71">
        <v>12</v>
      </c>
      <c r="D374" s="46">
        <f>SUM(E373:E373)</f>
        <v>99</v>
      </c>
      <c r="E374" s="46">
        <f>+D374/C374</f>
        <v>8.25</v>
      </c>
      <c r="F374" s="224"/>
    </row>
    <row r="375" spans="1:6" x14ac:dyDescent="0.2">
      <c r="A375" s="203" t="s">
        <v>158</v>
      </c>
      <c r="B375" s="12" t="s">
        <v>8</v>
      </c>
      <c r="C375" s="43">
        <f>+C373</f>
        <v>1</v>
      </c>
      <c r="D375" s="49">
        <f>D367</f>
        <v>69</v>
      </c>
      <c r="E375" s="13">
        <f>C375*D375</f>
        <v>69</v>
      </c>
      <c r="F375" s="224"/>
    </row>
    <row r="376" spans="1:6" ht="13.5" thickBot="1" x14ac:dyDescent="0.25">
      <c r="A376" s="203" t="s">
        <v>28</v>
      </c>
      <c r="B376" s="31" t="s">
        <v>6</v>
      </c>
      <c r="C376" s="71">
        <v>1</v>
      </c>
      <c r="D376" s="46">
        <f>+E375</f>
        <v>69</v>
      </c>
      <c r="E376" s="46">
        <f>+D376/C376</f>
        <v>69</v>
      </c>
      <c r="F376" s="224"/>
    </row>
    <row r="377" spans="1:6" ht="13.5" thickBot="1" x14ac:dyDescent="0.25">
      <c r="A377" s="225"/>
      <c r="B377" s="47"/>
      <c r="C377" s="47"/>
      <c r="D377" s="188" t="s">
        <v>143</v>
      </c>
      <c r="E377" s="229">
        <f>B53</f>
        <v>8.3299999999999999E-2</v>
      </c>
      <c r="F377" s="48">
        <f>ROUND(((E374+E376)*E377),2)</f>
        <v>6.43</v>
      </c>
    </row>
    <row r="378" spans="1:6" ht="13.5" thickBot="1" x14ac:dyDescent="0.25">
      <c r="A378" s="192"/>
      <c r="B378" s="32"/>
      <c r="C378" s="32"/>
      <c r="D378" s="35"/>
      <c r="E378" s="35"/>
      <c r="F378" s="61"/>
    </row>
    <row r="379" spans="1:6" ht="13.5" thickBot="1" x14ac:dyDescent="0.25">
      <c r="A379" s="16" t="s">
        <v>156</v>
      </c>
      <c r="B379" s="17"/>
      <c r="C379" s="17"/>
      <c r="D379" s="18"/>
      <c r="E379" s="19"/>
      <c r="F379" s="14">
        <f>+F369+F377</f>
        <v>32.18</v>
      </c>
    </row>
    <row r="380" spans="1:6" x14ac:dyDescent="0.2">
      <c r="A380" s="192"/>
      <c r="B380" s="32"/>
      <c r="C380" s="32"/>
      <c r="D380" s="35"/>
      <c r="E380" s="35"/>
      <c r="F380" s="61"/>
    </row>
    <row r="381" spans="1:6" ht="13.5" thickBot="1" x14ac:dyDescent="0.25">
      <c r="A381" s="192"/>
      <c r="B381" s="32"/>
      <c r="C381" s="32"/>
      <c r="D381" s="35"/>
      <c r="E381" s="35"/>
      <c r="F381" s="61"/>
    </row>
    <row r="382" spans="1:6" ht="13.5" thickBot="1" x14ac:dyDescent="0.25">
      <c r="A382" s="16" t="s">
        <v>304</v>
      </c>
      <c r="B382" s="260"/>
      <c r="C382" s="260"/>
      <c r="D382" s="261"/>
      <c r="E382" s="262"/>
      <c r="F382" s="15">
        <f>+F134+F167+F346+F360+F379</f>
        <v>29115.2988</v>
      </c>
    </row>
    <row r="383" spans="1:6" x14ac:dyDescent="0.2">
      <c r="A383" s="192"/>
      <c r="B383" s="32"/>
      <c r="C383" s="32"/>
      <c r="D383" s="35"/>
      <c r="E383" s="35"/>
      <c r="F383" s="61"/>
    </row>
    <row r="384" spans="1:6" x14ac:dyDescent="0.2">
      <c r="A384" s="196" t="s">
        <v>305</v>
      </c>
      <c r="B384" s="258"/>
      <c r="C384" s="258"/>
      <c r="D384" s="259"/>
      <c r="E384" s="259"/>
      <c r="F384" s="231"/>
    </row>
    <row r="385" spans="1:6" ht="13.5" thickBot="1" x14ac:dyDescent="0.25">
      <c r="A385" s="257"/>
      <c r="B385" s="258"/>
      <c r="C385" s="258"/>
      <c r="D385" s="259"/>
      <c r="E385" s="259"/>
      <c r="F385" s="231"/>
    </row>
    <row r="386" spans="1:6" ht="13.5" thickBot="1" x14ac:dyDescent="0.25">
      <c r="A386" s="36" t="s">
        <v>48</v>
      </c>
      <c r="B386" s="37" t="s">
        <v>49</v>
      </c>
      <c r="C386" s="37" t="s">
        <v>30</v>
      </c>
      <c r="D386" s="38" t="s">
        <v>166</v>
      </c>
      <c r="E386" s="38" t="s">
        <v>50</v>
      </c>
      <c r="F386" s="39" t="s">
        <v>51</v>
      </c>
    </row>
    <row r="387" spans="1:6" ht="13.5" thickBot="1" x14ac:dyDescent="0.25">
      <c r="A387" s="202" t="s">
        <v>27</v>
      </c>
      <c r="B387" s="179" t="s">
        <v>2</v>
      </c>
      <c r="C387" s="303">
        <f>'4.BDI'!C13*100</f>
        <v>27.73</v>
      </c>
      <c r="D387" s="230">
        <f>F382</f>
        <v>29115.2988</v>
      </c>
      <c r="E387" s="230">
        <f>ROUND((C387*D387/100),2)</f>
        <v>8073.67</v>
      </c>
      <c r="F387" s="231"/>
    </row>
    <row r="388" spans="1:6" ht="13.5" thickBot="1" x14ac:dyDescent="0.25">
      <c r="A388" s="257"/>
      <c r="B388" s="258"/>
      <c r="C388" s="258"/>
      <c r="D388" s="259"/>
      <c r="E388" s="259"/>
      <c r="F388" s="48">
        <f>+E387</f>
        <v>8073.67</v>
      </c>
    </row>
    <row r="389" spans="1:6" ht="13.5" thickBot="1" x14ac:dyDescent="0.25">
      <c r="A389" s="257"/>
      <c r="B389" s="258"/>
      <c r="C389" s="258"/>
      <c r="D389" s="259"/>
      <c r="E389" s="259"/>
      <c r="F389" s="231"/>
    </row>
    <row r="390" spans="1:6" ht="13.5" thickBot="1" x14ac:dyDescent="0.25">
      <c r="A390" s="16" t="s">
        <v>306</v>
      </c>
      <c r="B390" s="260"/>
      <c r="C390" s="260"/>
      <c r="D390" s="261"/>
      <c r="E390" s="262"/>
      <c r="F390" s="15">
        <f>F388</f>
        <v>8073.67</v>
      </c>
    </row>
    <row r="391" spans="1:6" ht="13.5" thickBot="1" x14ac:dyDescent="0.25">
      <c r="A391" s="196"/>
      <c r="B391" s="24"/>
      <c r="C391" s="24"/>
      <c r="D391" s="25"/>
      <c r="E391" s="25"/>
      <c r="F391" s="223"/>
    </row>
    <row r="392" spans="1:6" ht="13.5" thickBot="1" x14ac:dyDescent="0.25">
      <c r="A392" s="16" t="s">
        <v>307</v>
      </c>
      <c r="B392" s="260"/>
      <c r="C392" s="260"/>
      <c r="D392" s="261"/>
      <c r="E392" s="262"/>
      <c r="F392" s="272">
        <f>F382+F390</f>
        <v>37188.968800000002</v>
      </c>
    </row>
    <row r="393" spans="1:6" ht="15.75" x14ac:dyDescent="0.2">
      <c r="A393" s="226"/>
      <c r="B393" s="33"/>
      <c r="C393" s="33"/>
      <c r="D393" s="34"/>
      <c r="E393" s="34"/>
      <c r="F393" s="227"/>
    </row>
    <row r="394" spans="1:6" x14ac:dyDescent="0.2">
      <c r="A394" s="4"/>
      <c r="B394" s="4"/>
      <c r="C394" s="4"/>
      <c r="D394" s="263"/>
      <c r="E394" s="263"/>
      <c r="F394" s="263"/>
    </row>
    <row r="395" spans="1:6" x14ac:dyDescent="0.2">
      <c r="A395" s="4"/>
      <c r="B395" s="4"/>
      <c r="C395" s="4"/>
      <c r="D395" s="263"/>
      <c r="E395" s="263"/>
      <c r="F395" s="263"/>
    </row>
    <row r="403" s="6" customFormat="1" x14ac:dyDescent="0.2"/>
  </sheetData>
  <mergeCells count="12">
    <mergeCell ref="C344:D344"/>
    <mergeCell ref="C316:D316"/>
    <mergeCell ref="C242:D242"/>
    <mergeCell ref="C259:D259"/>
    <mergeCell ref="C301:D301"/>
    <mergeCell ref="A40:E40"/>
    <mergeCell ref="A1:F1"/>
    <mergeCell ref="A2:F2"/>
    <mergeCell ref="A4:F4"/>
    <mergeCell ref="C227:D227"/>
    <mergeCell ref="A47:D47"/>
    <mergeCell ref="C185:D185"/>
  </mergeCells>
  <hyperlinks>
    <hyperlink ref="A187" location="AbaRemun" display="3.1.2. Remuneração do Capital"/>
    <hyperlink ref="A171" location="AbaDeprec" display="3.1.1. Depreciação"/>
    <hyperlink ref="A261" location="AbaRemun" display="3.1.2. Remuneração do Capital"/>
    <hyperlink ref="A245" location="AbaDeprec" display="3.1.1. Depreciação"/>
    <hyperlink ref="A330" location="AbaRemun" display="3.1.2. Remuneração do Capital"/>
    <hyperlink ref="A319" location="AbaDeprec" display="3.1.1. Depreciação"/>
  </hyperlinks>
  <pageMargins left="0.39370078740157483" right="0" top="0.39370078740157483" bottom="0.39370078740157483" header="0" footer="0"/>
  <pageSetup paperSize="9" scale="77" fitToHeight="0" orientation="portrait" r:id="rId1"/>
  <headerFooter alignWithMargins="0">
    <oddFooter>&amp;R&amp;P de &amp;N</oddFooter>
  </headerFooter>
  <rowBreaks count="3" manualBreakCount="3">
    <brk id="53" max="5" man="1"/>
    <brk id="127" max="5" man="1"/>
    <brk id="38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/>
  </sheetViews>
  <sheetFormatPr defaultRowHeight="14.25" x14ac:dyDescent="0.2"/>
  <cols>
    <col min="1" max="1" width="26.5703125" style="241" customWidth="1"/>
    <col min="2" max="2" width="9.7109375" style="241" bestFit="1" customWidth="1"/>
    <col min="3" max="3" width="11.140625" style="241" customWidth="1"/>
    <col min="4" max="4" width="6.28515625" style="253" bestFit="1" customWidth="1"/>
    <col min="5" max="5" width="8.42578125" style="241" bestFit="1" customWidth="1"/>
    <col min="6" max="6" width="10.85546875" style="241" bestFit="1" customWidth="1"/>
    <col min="7" max="7" width="10.85546875" style="241" customWidth="1"/>
    <col min="8" max="10" width="8.7109375" style="241" bestFit="1" customWidth="1"/>
    <col min="11" max="11" width="9.140625" style="241"/>
    <col min="12" max="12" width="47.28515625" style="241" customWidth="1"/>
    <col min="13" max="13" width="10.28515625" style="241" bestFit="1" customWidth="1"/>
    <col min="14" max="14" width="9.140625" style="241"/>
    <col min="15" max="15" width="10.28515625" style="241" bestFit="1" customWidth="1"/>
    <col min="16" max="16384" width="9.140625" style="241"/>
  </cols>
  <sheetData>
    <row r="1" spans="1:11" ht="15" x14ac:dyDescent="0.25">
      <c r="A1" s="239" t="s">
        <v>223</v>
      </c>
      <c r="B1" s="239"/>
      <c r="C1" s="239"/>
      <c r="D1" s="240"/>
    </row>
    <row r="2" spans="1:11" ht="45" x14ac:dyDescent="0.25">
      <c r="A2" s="242" t="s">
        <v>91</v>
      </c>
      <c r="B2" s="243" t="s">
        <v>224</v>
      </c>
      <c r="C2" s="243" t="s">
        <v>225</v>
      </c>
      <c r="D2" s="243" t="s">
        <v>226</v>
      </c>
      <c r="E2" s="243" t="s">
        <v>227</v>
      </c>
      <c r="F2" s="243" t="s">
        <v>228</v>
      </c>
      <c r="G2" s="243" t="s">
        <v>229</v>
      </c>
      <c r="H2" s="243" t="s">
        <v>230</v>
      </c>
      <c r="I2" s="243" t="s">
        <v>231</v>
      </c>
      <c r="J2" s="243" t="s">
        <v>232</v>
      </c>
    </row>
    <row r="3" spans="1:11" x14ac:dyDescent="0.2">
      <c r="A3" s="244" t="s">
        <v>233</v>
      </c>
      <c r="B3" s="245">
        <v>1</v>
      </c>
      <c r="C3" s="246">
        <f>12/12</f>
        <v>1</v>
      </c>
      <c r="D3" s="247" t="s">
        <v>36</v>
      </c>
      <c r="E3" s="245">
        <v>8</v>
      </c>
      <c r="F3" s="248">
        <f>25/(E3*B3)</f>
        <v>3.125</v>
      </c>
      <c r="G3" s="248">
        <f>E3*F3*C3</f>
        <v>25</v>
      </c>
      <c r="H3" s="245">
        <v>50</v>
      </c>
      <c r="I3" s="249">
        <f>(G3*H3)/1000</f>
        <v>1.25</v>
      </c>
      <c r="J3" s="248">
        <f>I3*B$18</f>
        <v>13.125</v>
      </c>
      <c r="K3" s="250"/>
    </row>
    <row r="4" spans="1:11" x14ac:dyDescent="0.2">
      <c r="A4" s="244" t="s">
        <v>234</v>
      </c>
      <c r="B4" s="245">
        <v>1</v>
      </c>
      <c r="C4" s="246">
        <f>12/12</f>
        <v>1</v>
      </c>
      <c r="D4" s="247" t="s">
        <v>235</v>
      </c>
      <c r="E4" s="245">
        <v>8</v>
      </c>
      <c r="F4" s="248">
        <f>25/(E4*B4)</f>
        <v>3.125</v>
      </c>
      <c r="G4" s="248">
        <f>E4*F4*C4</f>
        <v>25</v>
      </c>
      <c r="H4" s="245">
        <v>150</v>
      </c>
      <c r="I4" s="249">
        <f>(G4*H4)/1000</f>
        <v>3.75</v>
      </c>
      <c r="J4" s="248">
        <f>I4*B$18</f>
        <v>39.375</v>
      </c>
    </row>
    <row r="5" spans="1:11" x14ac:dyDescent="0.2">
      <c r="A5" s="244" t="s">
        <v>236</v>
      </c>
      <c r="B5" s="245">
        <v>1</v>
      </c>
      <c r="C5" s="246">
        <f>12/12</f>
        <v>1</v>
      </c>
      <c r="D5" s="247" t="s">
        <v>235</v>
      </c>
      <c r="E5" s="245">
        <v>8</v>
      </c>
      <c r="F5" s="248">
        <f>25/(E5*B5)</f>
        <v>3.125</v>
      </c>
      <c r="G5" s="248">
        <f>E5*F5*C5</f>
        <v>25</v>
      </c>
      <c r="H5" s="245">
        <v>500</v>
      </c>
      <c r="I5" s="249">
        <f>(G5*H5)/1000</f>
        <v>12.5</v>
      </c>
      <c r="J5" s="248">
        <f>I5*B$18</f>
        <v>131.25</v>
      </c>
    </row>
    <row r="6" spans="1:11" x14ac:dyDescent="0.2">
      <c r="A6" s="244" t="s">
        <v>237</v>
      </c>
      <c r="B6" s="245">
        <v>6</v>
      </c>
      <c r="C6" s="246">
        <f>12/12</f>
        <v>1</v>
      </c>
      <c r="D6" s="247" t="s">
        <v>235</v>
      </c>
      <c r="E6" s="245">
        <v>2</v>
      </c>
      <c r="F6" s="248">
        <f>25/(E6*B6)</f>
        <v>2.0833333333333335</v>
      </c>
      <c r="G6" s="248">
        <f>E6*F6*C6</f>
        <v>4.166666666666667</v>
      </c>
      <c r="H6" s="245">
        <v>30</v>
      </c>
      <c r="I6" s="249">
        <f>(G6*H6)/1000</f>
        <v>0.12500000000000003</v>
      </c>
      <c r="J6" s="248">
        <f>I6*B$18</f>
        <v>1.3125000000000002</v>
      </c>
    </row>
    <row r="7" spans="1:11" x14ac:dyDescent="0.2">
      <c r="A7" s="244" t="s">
        <v>238</v>
      </c>
      <c r="B7" s="245">
        <v>2</v>
      </c>
      <c r="C7" s="246">
        <f>5/12</f>
        <v>0.41666666666666669</v>
      </c>
      <c r="D7" s="247" t="s">
        <v>235</v>
      </c>
      <c r="E7" s="245">
        <v>4</v>
      </c>
      <c r="F7" s="248">
        <f>25/(E7*B7)</f>
        <v>3.125</v>
      </c>
      <c r="G7" s="248">
        <f>E7*F7*C7</f>
        <v>5.2083333333333339</v>
      </c>
      <c r="H7" s="245">
        <v>400</v>
      </c>
      <c r="I7" s="249">
        <f>(G7*H7)/1000</f>
        <v>2.0833333333333335</v>
      </c>
      <c r="J7" s="248">
        <f>I7*B$18</f>
        <v>21.875</v>
      </c>
    </row>
    <row r="8" spans="1:11" ht="15" x14ac:dyDescent="0.25">
      <c r="A8" s="244"/>
      <c r="B8" s="247"/>
      <c r="C8" s="247"/>
      <c r="D8" s="247"/>
      <c r="E8" s="247"/>
      <c r="F8" s="247"/>
      <c r="G8" s="247"/>
      <c r="H8" s="244"/>
      <c r="I8" s="251">
        <f>SUM(I3:I7)</f>
        <v>19.708333333333332</v>
      </c>
      <c r="J8" s="252">
        <f>SUM(J3:J7)</f>
        <v>206.9375</v>
      </c>
    </row>
    <row r="10" spans="1:11" ht="15" x14ac:dyDescent="0.25">
      <c r="A10" s="239" t="s">
        <v>239</v>
      </c>
      <c r="B10" s="239"/>
      <c r="C10" s="239"/>
      <c r="D10" s="240"/>
    </row>
    <row r="11" spans="1:11" ht="45" x14ac:dyDescent="0.25">
      <c r="A11" s="242" t="s">
        <v>91</v>
      </c>
      <c r="B11" s="243" t="s">
        <v>224</v>
      </c>
      <c r="C11" s="243" t="s">
        <v>225</v>
      </c>
      <c r="D11" s="243" t="s">
        <v>226</v>
      </c>
      <c r="E11" s="243" t="s">
        <v>227</v>
      </c>
      <c r="F11" s="243" t="s">
        <v>228</v>
      </c>
      <c r="G11" s="243" t="s">
        <v>229</v>
      </c>
      <c r="H11" s="243" t="s">
        <v>230</v>
      </c>
      <c r="I11" s="243" t="s">
        <v>231</v>
      </c>
      <c r="J11" s="243" t="s">
        <v>232</v>
      </c>
    </row>
    <row r="12" spans="1:11" x14ac:dyDescent="0.2">
      <c r="A12" s="244" t="s">
        <v>234</v>
      </c>
      <c r="B12" s="245">
        <v>1</v>
      </c>
      <c r="C12" s="246">
        <f>12/12</f>
        <v>1</v>
      </c>
      <c r="D12" s="247" t="s">
        <v>235</v>
      </c>
      <c r="E12" s="245">
        <v>4</v>
      </c>
      <c r="F12" s="248">
        <f>25/(E12*B12)</f>
        <v>6.25</v>
      </c>
      <c r="G12" s="248">
        <f>E12*F12*C12</f>
        <v>25</v>
      </c>
      <c r="H12" s="245">
        <v>150</v>
      </c>
      <c r="I12" s="249">
        <f>(G12*H12)/1000</f>
        <v>3.75</v>
      </c>
      <c r="J12" s="248">
        <f>I12*B$18</f>
        <v>39.375</v>
      </c>
    </row>
    <row r="13" spans="1:11" x14ac:dyDescent="0.2">
      <c r="A13" s="244" t="s">
        <v>236</v>
      </c>
      <c r="B13" s="245">
        <v>1</v>
      </c>
      <c r="C13" s="246">
        <f>12/12</f>
        <v>1</v>
      </c>
      <c r="D13" s="247" t="s">
        <v>235</v>
      </c>
      <c r="E13" s="245">
        <v>4</v>
      </c>
      <c r="F13" s="248">
        <f>25/(E13*B13)</f>
        <v>6.25</v>
      </c>
      <c r="G13" s="248">
        <f>E13*F13*C13</f>
        <v>25</v>
      </c>
      <c r="H13" s="245">
        <v>500</v>
      </c>
      <c r="I13" s="249">
        <f>(G13*H13)/1000</f>
        <v>12.5</v>
      </c>
      <c r="J13" s="248">
        <f>I13*B$18</f>
        <v>131.25</v>
      </c>
    </row>
    <row r="14" spans="1:11" x14ac:dyDescent="0.2">
      <c r="A14" s="244" t="s">
        <v>237</v>
      </c>
      <c r="B14" s="245">
        <v>6</v>
      </c>
      <c r="C14" s="246">
        <f>12/12</f>
        <v>1</v>
      </c>
      <c r="D14" s="247" t="s">
        <v>235</v>
      </c>
      <c r="E14" s="245">
        <v>3</v>
      </c>
      <c r="F14" s="248">
        <f>25/(E14*B14)</f>
        <v>1.3888888888888888</v>
      </c>
      <c r="G14" s="248">
        <f>E14*F14*C14</f>
        <v>4.1666666666666661</v>
      </c>
      <c r="H14" s="245">
        <v>30</v>
      </c>
      <c r="I14" s="249">
        <f>(G14*H14)/1000</f>
        <v>0.12499999999999999</v>
      </c>
      <c r="J14" s="248">
        <f>I14*B$18</f>
        <v>1.3124999999999998</v>
      </c>
    </row>
    <row r="15" spans="1:11" x14ac:dyDescent="0.2">
      <c r="A15" s="244" t="s">
        <v>238</v>
      </c>
      <c r="B15" s="245">
        <v>3</v>
      </c>
      <c r="C15" s="246">
        <f>5/12</f>
        <v>0.41666666666666669</v>
      </c>
      <c r="D15" s="247" t="s">
        <v>235</v>
      </c>
      <c r="E15" s="245">
        <v>2</v>
      </c>
      <c r="F15" s="248">
        <f>25/(E15*B15)</f>
        <v>4.166666666666667</v>
      </c>
      <c r="G15" s="248">
        <f>E15*F15*C15</f>
        <v>3.4722222222222228</v>
      </c>
      <c r="H15" s="245">
        <v>400</v>
      </c>
      <c r="I15" s="249">
        <f>(G15*H15)/1000</f>
        <v>1.3888888888888891</v>
      </c>
      <c r="J15" s="248">
        <f>I15*B$18</f>
        <v>14.583333333333336</v>
      </c>
    </row>
    <row r="16" spans="1:11" ht="15" x14ac:dyDescent="0.25">
      <c r="A16" s="244"/>
      <c r="B16" s="247"/>
      <c r="C16" s="247"/>
      <c r="D16" s="247"/>
      <c r="E16" s="247"/>
      <c r="F16" s="247"/>
      <c r="G16" s="247"/>
      <c r="H16" s="244"/>
      <c r="I16" s="251">
        <f>SUM(I12:I15)</f>
        <v>17.763888888888889</v>
      </c>
      <c r="J16" s="252">
        <f>SUM(J12:J15)</f>
        <v>186.52083333333334</v>
      </c>
    </row>
    <row r="17" spans="1:4" x14ac:dyDescent="0.2">
      <c r="B17" s="253"/>
      <c r="C17" s="253"/>
    </row>
    <row r="18" spans="1:4" ht="15" x14ac:dyDescent="0.25">
      <c r="A18" s="242" t="s">
        <v>240</v>
      </c>
      <c r="B18" s="254">
        <v>10.5</v>
      </c>
      <c r="D18" s="24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6.85546875" style="165" customWidth="1"/>
    <col min="2" max="2" width="9.140625" style="176" customWidth="1"/>
    <col min="3" max="3" width="10" style="165" bestFit="1" customWidth="1"/>
    <col min="4" max="4" width="9.140625" style="165"/>
    <col min="5" max="5" width="16.85546875" style="165" bestFit="1" customWidth="1"/>
    <col min="6" max="6" width="9.140625" style="165"/>
    <col min="7" max="7" width="6.85546875" style="165" bestFit="1" customWidth="1"/>
    <col min="8" max="8" width="14.5703125" style="165" bestFit="1" customWidth="1"/>
    <col min="9" max="255" width="9.140625" style="165"/>
    <col min="256" max="256" width="46.85546875" style="165" customWidth="1"/>
    <col min="257" max="257" width="9.140625" style="165" customWidth="1"/>
    <col min="258" max="258" width="12.140625" style="165" bestFit="1" customWidth="1"/>
    <col min="259" max="259" width="10" style="165" bestFit="1" customWidth="1"/>
    <col min="260" max="511" width="9.140625" style="165"/>
    <col min="512" max="512" width="46.85546875" style="165" customWidth="1"/>
    <col min="513" max="513" width="9.140625" style="165" customWidth="1"/>
    <col min="514" max="514" width="12.140625" style="165" bestFit="1" customWidth="1"/>
    <col min="515" max="515" width="10" style="165" bestFit="1" customWidth="1"/>
    <col min="516" max="767" width="9.140625" style="165"/>
    <col min="768" max="768" width="46.85546875" style="165" customWidth="1"/>
    <col min="769" max="769" width="9.140625" style="165" customWidth="1"/>
    <col min="770" max="770" width="12.140625" style="165" bestFit="1" customWidth="1"/>
    <col min="771" max="771" width="10" style="165" bestFit="1" customWidth="1"/>
    <col min="772" max="1023" width="9.140625" style="165"/>
    <col min="1024" max="1024" width="46.85546875" style="165" customWidth="1"/>
    <col min="1025" max="1025" width="9.140625" style="165" customWidth="1"/>
    <col min="1026" max="1026" width="12.140625" style="165" bestFit="1" customWidth="1"/>
    <col min="1027" max="1027" width="10" style="165" bestFit="1" customWidth="1"/>
    <col min="1028" max="1279" width="9.140625" style="165"/>
    <col min="1280" max="1280" width="46.85546875" style="165" customWidth="1"/>
    <col min="1281" max="1281" width="9.140625" style="165" customWidth="1"/>
    <col min="1282" max="1282" width="12.140625" style="165" bestFit="1" customWidth="1"/>
    <col min="1283" max="1283" width="10" style="165" bestFit="1" customWidth="1"/>
    <col min="1284" max="1535" width="9.140625" style="165"/>
    <col min="1536" max="1536" width="46.85546875" style="165" customWidth="1"/>
    <col min="1537" max="1537" width="9.140625" style="165" customWidth="1"/>
    <col min="1538" max="1538" width="12.140625" style="165" bestFit="1" customWidth="1"/>
    <col min="1539" max="1539" width="10" style="165" bestFit="1" customWidth="1"/>
    <col min="1540" max="1791" width="9.140625" style="165"/>
    <col min="1792" max="1792" width="46.85546875" style="165" customWidth="1"/>
    <col min="1793" max="1793" width="9.140625" style="165" customWidth="1"/>
    <col min="1794" max="1794" width="12.140625" style="165" bestFit="1" customWidth="1"/>
    <col min="1795" max="1795" width="10" style="165" bestFit="1" customWidth="1"/>
    <col min="1796" max="2047" width="9.140625" style="165"/>
    <col min="2048" max="2048" width="46.85546875" style="165" customWidth="1"/>
    <col min="2049" max="2049" width="9.140625" style="165" customWidth="1"/>
    <col min="2050" max="2050" width="12.140625" style="165" bestFit="1" customWidth="1"/>
    <col min="2051" max="2051" width="10" style="165" bestFit="1" customWidth="1"/>
    <col min="2052" max="2303" width="9.140625" style="165"/>
    <col min="2304" max="2304" width="46.85546875" style="165" customWidth="1"/>
    <col min="2305" max="2305" width="9.140625" style="165" customWidth="1"/>
    <col min="2306" max="2306" width="12.140625" style="165" bestFit="1" customWidth="1"/>
    <col min="2307" max="2307" width="10" style="165" bestFit="1" customWidth="1"/>
    <col min="2308" max="2559" width="9.140625" style="165"/>
    <col min="2560" max="2560" width="46.85546875" style="165" customWidth="1"/>
    <col min="2561" max="2561" width="9.140625" style="165" customWidth="1"/>
    <col min="2562" max="2562" width="12.140625" style="165" bestFit="1" customWidth="1"/>
    <col min="2563" max="2563" width="10" style="165" bestFit="1" customWidth="1"/>
    <col min="2564" max="2815" width="9.140625" style="165"/>
    <col min="2816" max="2816" width="46.85546875" style="165" customWidth="1"/>
    <col min="2817" max="2817" width="9.140625" style="165" customWidth="1"/>
    <col min="2818" max="2818" width="12.140625" style="165" bestFit="1" customWidth="1"/>
    <col min="2819" max="2819" width="10" style="165" bestFit="1" customWidth="1"/>
    <col min="2820" max="3071" width="9.140625" style="165"/>
    <col min="3072" max="3072" width="46.85546875" style="165" customWidth="1"/>
    <col min="3073" max="3073" width="9.140625" style="165" customWidth="1"/>
    <col min="3074" max="3074" width="12.140625" style="165" bestFit="1" customWidth="1"/>
    <col min="3075" max="3075" width="10" style="165" bestFit="1" customWidth="1"/>
    <col min="3076" max="3327" width="9.140625" style="165"/>
    <col min="3328" max="3328" width="46.85546875" style="165" customWidth="1"/>
    <col min="3329" max="3329" width="9.140625" style="165" customWidth="1"/>
    <col min="3330" max="3330" width="12.140625" style="165" bestFit="1" customWidth="1"/>
    <col min="3331" max="3331" width="10" style="165" bestFit="1" customWidth="1"/>
    <col min="3332" max="3583" width="9.140625" style="165"/>
    <col min="3584" max="3584" width="46.85546875" style="165" customWidth="1"/>
    <col min="3585" max="3585" width="9.140625" style="165" customWidth="1"/>
    <col min="3586" max="3586" width="12.140625" style="165" bestFit="1" customWidth="1"/>
    <col min="3587" max="3587" width="10" style="165" bestFit="1" customWidth="1"/>
    <col min="3588" max="3839" width="9.140625" style="165"/>
    <col min="3840" max="3840" width="46.85546875" style="165" customWidth="1"/>
    <col min="3841" max="3841" width="9.140625" style="165" customWidth="1"/>
    <col min="3842" max="3842" width="12.140625" style="165" bestFit="1" customWidth="1"/>
    <col min="3843" max="3843" width="10" style="165" bestFit="1" customWidth="1"/>
    <col min="3844" max="4095" width="9.140625" style="165"/>
    <col min="4096" max="4096" width="46.85546875" style="165" customWidth="1"/>
    <col min="4097" max="4097" width="9.140625" style="165" customWidth="1"/>
    <col min="4098" max="4098" width="12.140625" style="165" bestFit="1" customWidth="1"/>
    <col min="4099" max="4099" width="10" style="165" bestFit="1" customWidth="1"/>
    <col min="4100" max="4351" width="9.140625" style="165"/>
    <col min="4352" max="4352" width="46.85546875" style="165" customWidth="1"/>
    <col min="4353" max="4353" width="9.140625" style="165" customWidth="1"/>
    <col min="4354" max="4354" width="12.140625" style="165" bestFit="1" customWidth="1"/>
    <col min="4355" max="4355" width="10" style="165" bestFit="1" customWidth="1"/>
    <col min="4356" max="4607" width="9.140625" style="165"/>
    <col min="4608" max="4608" width="46.85546875" style="165" customWidth="1"/>
    <col min="4609" max="4609" width="9.140625" style="165" customWidth="1"/>
    <col min="4610" max="4610" width="12.140625" style="165" bestFit="1" customWidth="1"/>
    <col min="4611" max="4611" width="10" style="165" bestFit="1" customWidth="1"/>
    <col min="4612" max="4863" width="9.140625" style="165"/>
    <col min="4864" max="4864" width="46.85546875" style="165" customWidth="1"/>
    <col min="4865" max="4865" width="9.140625" style="165" customWidth="1"/>
    <col min="4866" max="4866" width="12.140625" style="165" bestFit="1" customWidth="1"/>
    <col min="4867" max="4867" width="10" style="165" bestFit="1" customWidth="1"/>
    <col min="4868" max="5119" width="9.140625" style="165"/>
    <col min="5120" max="5120" width="46.85546875" style="165" customWidth="1"/>
    <col min="5121" max="5121" width="9.140625" style="165" customWidth="1"/>
    <col min="5122" max="5122" width="12.140625" style="165" bestFit="1" customWidth="1"/>
    <col min="5123" max="5123" width="10" style="165" bestFit="1" customWidth="1"/>
    <col min="5124" max="5375" width="9.140625" style="165"/>
    <col min="5376" max="5376" width="46.85546875" style="165" customWidth="1"/>
    <col min="5377" max="5377" width="9.140625" style="165" customWidth="1"/>
    <col min="5378" max="5378" width="12.140625" style="165" bestFit="1" customWidth="1"/>
    <col min="5379" max="5379" width="10" style="165" bestFit="1" customWidth="1"/>
    <col min="5380" max="5631" width="9.140625" style="165"/>
    <col min="5632" max="5632" width="46.85546875" style="165" customWidth="1"/>
    <col min="5633" max="5633" width="9.140625" style="165" customWidth="1"/>
    <col min="5634" max="5634" width="12.140625" style="165" bestFit="1" customWidth="1"/>
    <col min="5635" max="5635" width="10" style="165" bestFit="1" customWidth="1"/>
    <col min="5636" max="5887" width="9.140625" style="165"/>
    <col min="5888" max="5888" width="46.85546875" style="165" customWidth="1"/>
    <col min="5889" max="5889" width="9.140625" style="165" customWidth="1"/>
    <col min="5890" max="5890" width="12.140625" style="165" bestFit="1" customWidth="1"/>
    <col min="5891" max="5891" width="10" style="165" bestFit="1" customWidth="1"/>
    <col min="5892" max="6143" width="9.140625" style="165"/>
    <col min="6144" max="6144" width="46.85546875" style="165" customWidth="1"/>
    <col min="6145" max="6145" width="9.140625" style="165" customWidth="1"/>
    <col min="6146" max="6146" width="12.140625" style="165" bestFit="1" customWidth="1"/>
    <col min="6147" max="6147" width="10" style="165" bestFit="1" customWidth="1"/>
    <col min="6148" max="6399" width="9.140625" style="165"/>
    <col min="6400" max="6400" width="46.85546875" style="165" customWidth="1"/>
    <col min="6401" max="6401" width="9.140625" style="165" customWidth="1"/>
    <col min="6402" max="6402" width="12.140625" style="165" bestFit="1" customWidth="1"/>
    <col min="6403" max="6403" width="10" style="165" bestFit="1" customWidth="1"/>
    <col min="6404" max="6655" width="9.140625" style="165"/>
    <col min="6656" max="6656" width="46.85546875" style="165" customWidth="1"/>
    <col min="6657" max="6657" width="9.140625" style="165" customWidth="1"/>
    <col min="6658" max="6658" width="12.140625" style="165" bestFit="1" customWidth="1"/>
    <col min="6659" max="6659" width="10" style="165" bestFit="1" customWidth="1"/>
    <col min="6660" max="6911" width="9.140625" style="165"/>
    <col min="6912" max="6912" width="46.85546875" style="165" customWidth="1"/>
    <col min="6913" max="6913" width="9.140625" style="165" customWidth="1"/>
    <col min="6914" max="6914" width="12.140625" style="165" bestFit="1" customWidth="1"/>
    <col min="6915" max="6915" width="10" style="165" bestFit="1" customWidth="1"/>
    <col min="6916" max="7167" width="9.140625" style="165"/>
    <col min="7168" max="7168" width="46.85546875" style="165" customWidth="1"/>
    <col min="7169" max="7169" width="9.140625" style="165" customWidth="1"/>
    <col min="7170" max="7170" width="12.140625" style="165" bestFit="1" customWidth="1"/>
    <col min="7171" max="7171" width="10" style="165" bestFit="1" customWidth="1"/>
    <col min="7172" max="7423" width="9.140625" style="165"/>
    <col min="7424" max="7424" width="46.85546875" style="165" customWidth="1"/>
    <col min="7425" max="7425" width="9.140625" style="165" customWidth="1"/>
    <col min="7426" max="7426" width="12.140625" style="165" bestFit="1" customWidth="1"/>
    <col min="7427" max="7427" width="10" style="165" bestFit="1" customWidth="1"/>
    <col min="7428" max="7679" width="9.140625" style="165"/>
    <col min="7680" max="7680" width="46.85546875" style="165" customWidth="1"/>
    <col min="7681" max="7681" width="9.140625" style="165" customWidth="1"/>
    <col min="7682" max="7682" width="12.140625" style="165" bestFit="1" customWidth="1"/>
    <col min="7683" max="7683" width="10" style="165" bestFit="1" customWidth="1"/>
    <col min="7684" max="7935" width="9.140625" style="165"/>
    <col min="7936" max="7936" width="46.85546875" style="165" customWidth="1"/>
    <col min="7937" max="7937" width="9.140625" style="165" customWidth="1"/>
    <col min="7938" max="7938" width="12.140625" style="165" bestFit="1" customWidth="1"/>
    <col min="7939" max="7939" width="10" style="165" bestFit="1" customWidth="1"/>
    <col min="7940" max="8191" width="9.140625" style="165"/>
    <col min="8192" max="8192" width="46.85546875" style="165" customWidth="1"/>
    <col min="8193" max="8193" width="9.140625" style="165" customWidth="1"/>
    <col min="8194" max="8194" width="12.140625" style="165" bestFit="1" customWidth="1"/>
    <col min="8195" max="8195" width="10" style="165" bestFit="1" customWidth="1"/>
    <col min="8196" max="8447" width="9.140625" style="165"/>
    <col min="8448" max="8448" width="46.85546875" style="165" customWidth="1"/>
    <col min="8449" max="8449" width="9.140625" style="165" customWidth="1"/>
    <col min="8450" max="8450" width="12.140625" style="165" bestFit="1" customWidth="1"/>
    <col min="8451" max="8451" width="10" style="165" bestFit="1" customWidth="1"/>
    <col min="8452" max="8703" width="9.140625" style="165"/>
    <col min="8704" max="8704" width="46.85546875" style="165" customWidth="1"/>
    <col min="8705" max="8705" width="9.140625" style="165" customWidth="1"/>
    <col min="8706" max="8706" width="12.140625" style="165" bestFit="1" customWidth="1"/>
    <col min="8707" max="8707" width="10" style="165" bestFit="1" customWidth="1"/>
    <col min="8708" max="8959" width="9.140625" style="165"/>
    <col min="8960" max="8960" width="46.85546875" style="165" customWidth="1"/>
    <col min="8961" max="8961" width="9.140625" style="165" customWidth="1"/>
    <col min="8962" max="8962" width="12.140625" style="165" bestFit="1" customWidth="1"/>
    <col min="8963" max="8963" width="10" style="165" bestFit="1" customWidth="1"/>
    <col min="8964" max="9215" width="9.140625" style="165"/>
    <col min="9216" max="9216" width="46.85546875" style="165" customWidth="1"/>
    <col min="9217" max="9217" width="9.140625" style="165" customWidth="1"/>
    <col min="9218" max="9218" width="12.140625" style="165" bestFit="1" customWidth="1"/>
    <col min="9219" max="9219" width="10" style="165" bestFit="1" customWidth="1"/>
    <col min="9220" max="9471" width="9.140625" style="165"/>
    <col min="9472" max="9472" width="46.85546875" style="165" customWidth="1"/>
    <col min="9473" max="9473" width="9.140625" style="165" customWidth="1"/>
    <col min="9474" max="9474" width="12.140625" style="165" bestFit="1" customWidth="1"/>
    <col min="9475" max="9475" width="10" style="165" bestFit="1" customWidth="1"/>
    <col min="9476" max="9727" width="9.140625" style="165"/>
    <col min="9728" max="9728" width="46.85546875" style="165" customWidth="1"/>
    <col min="9729" max="9729" width="9.140625" style="165" customWidth="1"/>
    <col min="9730" max="9730" width="12.140625" style="165" bestFit="1" customWidth="1"/>
    <col min="9731" max="9731" width="10" style="165" bestFit="1" customWidth="1"/>
    <col min="9732" max="9983" width="9.140625" style="165"/>
    <col min="9984" max="9984" width="46.85546875" style="165" customWidth="1"/>
    <col min="9985" max="9985" width="9.140625" style="165" customWidth="1"/>
    <col min="9986" max="9986" width="12.140625" style="165" bestFit="1" customWidth="1"/>
    <col min="9987" max="9987" width="10" style="165" bestFit="1" customWidth="1"/>
    <col min="9988" max="10239" width="9.140625" style="165"/>
    <col min="10240" max="10240" width="46.85546875" style="165" customWidth="1"/>
    <col min="10241" max="10241" width="9.140625" style="165" customWidth="1"/>
    <col min="10242" max="10242" width="12.140625" style="165" bestFit="1" customWidth="1"/>
    <col min="10243" max="10243" width="10" style="165" bestFit="1" customWidth="1"/>
    <col min="10244" max="10495" width="9.140625" style="165"/>
    <col min="10496" max="10496" width="46.85546875" style="165" customWidth="1"/>
    <col min="10497" max="10497" width="9.140625" style="165" customWidth="1"/>
    <col min="10498" max="10498" width="12.140625" style="165" bestFit="1" customWidth="1"/>
    <col min="10499" max="10499" width="10" style="165" bestFit="1" customWidth="1"/>
    <col min="10500" max="10751" width="9.140625" style="165"/>
    <col min="10752" max="10752" width="46.85546875" style="165" customWidth="1"/>
    <col min="10753" max="10753" width="9.140625" style="165" customWidth="1"/>
    <col min="10754" max="10754" width="12.140625" style="165" bestFit="1" customWidth="1"/>
    <col min="10755" max="10755" width="10" style="165" bestFit="1" customWidth="1"/>
    <col min="10756" max="11007" width="9.140625" style="165"/>
    <col min="11008" max="11008" width="46.85546875" style="165" customWidth="1"/>
    <col min="11009" max="11009" width="9.140625" style="165" customWidth="1"/>
    <col min="11010" max="11010" width="12.140625" style="165" bestFit="1" customWidth="1"/>
    <col min="11011" max="11011" width="10" style="165" bestFit="1" customWidth="1"/>
    <col min="11012" max="11263" width="9.140625" style="165"/>
    <col min="11264" max="11264" width="46.85546875" style="165" customWidth="1"/>
    <col min="11265" max="11265" width="9.140625" style="165" customWidth="1"/>
    <col min="11266" max="11266" width="12.140625" style="165" bestFit="1" customWidth="1"/>
    <col min="11267" max="11267" width="10" style="165" bestFit="1" customWidth="1"/>
    <col min="11268" max="11519" width="9.140625" style="165"/>
    <col min="11520" max="11520" width="46.85546875" style="165" customWidth="1"/>
    <col min="11521" max="11521" width="9.140625" style="165" customWidth="1"/>
    <col min="11522" max="11522" width="12.140625" style="165" bestFit="1" customWidth="1"/>
    <col min="11523" max="11523" width="10" style="165" bestFit="1" customWidth="1"/>
    <col min="11524" max="11775" width="9.140625" style="165"/>
    <col min="11776" max="11776" width="46.85546875" style="165" customWidth="1"/>
    <col min="11777" max="11777" width="9.140625" style="165" customWidth="1"/>
    <col min="11778" max="11778" width="12.140625" style="165" bestFit="1" customWidth="1"/>
    <col min="11779" max="11779" width="10" style="165" bestFit="1" customWidth="1"/>
    <col min="11780" max="12031" width="9.140625" style="165"/>
    <col min="12032" max="12032" width="46.85546875" style="165" customWidth="1"/>
    <col min="12033" max="12033" width="9.140625" style="165" customWidth="1"/>
    <col min="12034" max="12034" width="12.140625" style="165" bestFit="1" customWidth="1"/>
    <col min="12035" max="12035" width="10" style="165" bestFit="1" customWidth="1"/>
    <col min="12036" max="12287" width="9.140625" style="165"/>
    <col min="12288" max="12288" width="46.85546875" style="165" customWidth="1"/>
    <col min="12289" max="12289" width="9.140625" style="165" customWidth="1"/>
    <col min="12290" max="12290" width="12.140625" style="165" bestFit="1" customWidth="1"/>
    <col min="12291" max="12291" width="10" style="165" bestFit="1" customWidth="1"/>
    <col min="12292" max="12543" width="9.140625" style="165"/>
    <col min="12544" max="12544" width="46.85546875" style="165" customWidth="1"/>
    <col min="12545" max="12545" width="9.140625" style="165" customWidth="1"/>
    <col min="12546" max="12546" width="12.140625" style="165" bestFit="1" customWidth="1"/>
    <col min="12547" max="12547" width="10" style="165" bestFit="1" customWidth="1"/>
    <col min="12548" max="12799" width="9.140625" style="165"/>
    <col min="12800" max="12800" width="46.85546875" style="165" customWidth="1"/>
    <col min="12801" max="12801" width="9.140625" style="165" customWidth="1"/>
    <col min="12802" max="12802" width="12.140625" style="165" bestFit="1" customWidth="1"/>
    <col min="12803" max="12803" width="10" style="165" bestFit="1" customWidth="1"/>
    <col min="12804" max="13055" width="9.140625" style="165"/>
    <col min="13056" max="13056" width="46.85546875" style="165" customWidth="1"/>
    <col min="13057" max="13057" width="9.140625" style="165" customWidth="1"/>
    <col min="13058" max="13058" width="12.140625" style="165" bestFit="1" customWidth="1"/>
    <col min="13059" max="13059" width="10" style="165" bestFit="1" customWidth="1"/>
    <col min="13060" max="13311" width="9.140625" style="165"/>
    <col min="13312" max="13312" width="46.85546875" style="165" customWidth="1"/>
    <col min="13313" max="13313" width="9.140625" style="165" customWidth="1"/>
    <col min="13314" max="13314" width="12.140625" style="165" bestFit="1" customWidth="1"/>
    <col min="13315" max="13315" width="10" style="165" bestFit="1" customWidth="1"/>
    <col min="13316" max="13567" width="9.140625" style="165"/>
    <col min="13568" max="13568" width="46.85546875" style="165" customWidth="1"/>
    <col min="13569" max="13569" width="9.140625" style="165" customWidth="1"/>
    <col min="13570" max="13570" width="12.140625" style="165" bestFit="1" customWidth="1"/>
    <col min="13571" max="13571" width="10" style="165" bestFit="1" customWidth="1"/>
    <col min="13572" max="13823" width="9.140625" style="165"/>
    <col min="13824" max="13824" width="46.85546875" style="165" customWidth="1"/>
    <col min="13825" max="13825" width="9.140625" style="165" customWidth="1"/>
    <col min="13826" max="13826" width="12.140625" style="165" bestFit="1" customWidth="1"/>
    <col min="13827" max="13827" width="10" style="165" bestFit="1" customWidth="1"/>
    <col min="13828" max="14079" width="9.140625" style="165"/>
    <col min="14080" max="14080" width="46.85546875" style="165" customWidth="1"/>
    <col min="14081" max="14081" width="9.140625" style="165" customWidth="1"/>
    <col min="14082" max="14082" width="12.140625" style="165" bestFit="1" customWidth="1"/>
    <col min="14083" max="14083" width="10" style="165" bestFit="1" customWidth="1"/>
    <col min="14084" max="14335" width="9.140625" style="165"/>
    <col min="14336" max="14336" width="46.85546875" style="165" customWidth="1"/>
    <col min="14337" max="14337" width="9.140625" style="165" customWidth="1"/>
    <col min="14338" max="14338" width="12.140625" style="165" bestFit="1" customWidth="1"/>
    <col min="14339" max="14339" width="10" style="165" bestFit="1" customWidth="1"/>
    <col min="14340" max="14591" width="9.140625" style="165"/>
    <col min="14592" max="14592" width="46.85546875" style="165" customWidth="1"/>
    <col min="14593" max="14593" width="9.140625" style="165" customWidth="1"/>
    <col min="14594" max="14594" width="12.140625" style="165" bestFit="1" customWidth="1"/>
    <col min="14595" max="14595" width="10" style="165" bestFit="1" customWidth="1"/>
    <col min="14596" max="14847" width="9.140625" style="165"/>
    <col min="14848" max="14848" width="46.85546875" style="165" customWidth="1"/>
    <col min="14849" max="14849" width="9.140625" style="165" customWidth="1"/>
    <col min="14850" max="14850" width="12.140625" style="165" bestFit="1" customWidth="1"/>
    <col min="14851" max="14851" width="10" style="165" bestFit="1" customWidth="1"/>
    <col min="14852" max="15103" width="9.140625" style="165"/>
    <col min="15104" max="15104" width="46.85546875" style="165" customWidth="1"/>
    <col min="15105" max="15105" width="9.140625" style="165" customWidth="1"/>
    <col min="15106" max="15106" width="12.140625" style="165" bestFit="1" customWidth="1"/>
    <col min="15107" max="15107" width="10" style="165" bestFit="1" customWidth="1"/>
    <col min="15108" max="15359" width="9.140625" style="165"/>
    <col min="15360" max="15360" width="46.85546875" style="165" customWidth="1"/>
    <col min="15361" max="15361" width="9.140625" style="165" customWidth="1"/>
    <col min="15362" max="15362" width="12.140625" style="165" bestFit="1" customWidth="1"/>
    <col min="15363" max="15363" width="10" style="165" bestFit="1" customWidth="1"/>
    <col min="15364" max="15615" width="9.140625" style="165"/>
    <col min="15616" max="15616" width="46.85546875" style="165" customWidth="1"/>
    <col min="15617" max="15617" width="9.140625" style="165" customWidth="1"/>
    <col min="15618" max="15618" width="12.140625" style="165" bestFit="1" customWidth="1"/>
    <col min="15619" max="15619" width="10" style="165" bestFit="1" customWidth="1"/>
    <col min="15620" max="15871" width="9.140625" style="165"/>
    <col min="15872" max="15872" width="46.85546875" style="165" customWidth="1"/>
    <col min="15873" max="15873" width="9.140625" style="165" customWidth="1"/>
    <col min="15874" max="15874" width="12.140625" style="165" bestFit="1" customWidth="1"/>
    <col min="15875" max="15875" width="10" style="165" bestFit="1" customWidth="1"/>
    <col min="15876" max="16127" width="9.140625" style="165"/>
    <col min="16128" max="16128" width="46.85546875" style="165" customWidth="1"/>
    <col min="16129" max="16129" width="9.140625" style="165" customWidth="1"/>
    <col min="16130" max="16130" width="12.140625" style="165" bestFit="1" customWidth="1"/>
    <col min="16131" max="16131" width="10" style="165" bestFit="1" customWidth="1"/>
    <col min="16132" max="16384" width="9.140625" style="165"/>
  </cols>
  <sheetData>
    <row r="1" spans="1:2" x14ac:dyDescent="0.2">
      <c r="A1" s="168" t="s">
        <v>194</v>
      </c>
      <c r="B1" s="169"/>
    </row>
    <row r="2" spans="1:2" x14ac:dyDescent="0.2">
      <c r="A2" s="166" t="s">
        <v>195</v>
      </c>
      <c r="B2" s="170">
        <f>SUM(B3:B13)</f>
        <v>11</v>
      </c>
    </row>
    <row r="3" spans="1:2" x14ac:dyDescent="0.2">
      <c r="A3" s="171" t="s">
        <v>180</v>
      </c>
      <c r="B3" s="167">
        <v>1</v>
      </c>
    </row>
    <row r="4" spans="1:2" x14ac:dyDescent="0.2">
      <c r="A4" s="171" t="s">
        <v>181</v>
      </c>
      <c r="B4" s="167">
        <v>1</v>
      </c>
    </row>
    <row r="5" spans="1:2" x14ac:dyDescent="0.2">
      <c r="A5" s="171" t="s">
        <v>182</v>
      </c>
      <c r="B5" s="167">
        <v>1</v>
      </c>
    </row>
    <row r="6" spans="1:2" x14ac:dyDescent="0.2">
      <c r="A6" s="171" t="s">
        <v>208</v>
      </c>
      <c r="B6" s="167">
        <v>1</v>
      </c>
    </row>
    <row r="7" spans="1:2" x14ac:dyDescent="0.2">
      <c r="A7" s="171" t="s">
        <v>209</v>
      </c>
      <c r="B7" s="167">
        <v>1</v>
      </c>
    </row>
    <row r="8" spans="1:2" x14ac:dyDescent="0.2">
      <c r="A8" s="171" t="s">
        <v>183</v>
      </c>
      <c r="B8" s="167">
        <v>1</v>
      </c>
    </row>
    <row r="9" spans="1:2" x14ac:dyDescent="0.2">
      <c r="A9" s="171" t="s">
        <v>184</v>
      </c>
      <c r="B9" s="167">
        <v>1</v>
      </c>
    </row>
    <row r="10" spans="1:2" x14ac:dyDescent="0.2">
      <c r="A10" s="171" t="s">
        <v>193</v>
      </c>
      <c r="B10" s="167">
        <v>1</v>
      </c>
    </row>
    <row r="11" spans="1:2" x14ac:dyDescent="0.2">
      <c r="A11" s="171" t="s">
        <v>185</v>
      </c>
      <c r="B11" s="167">
        <v>1</v>
      </c>
    </row>
    <row r="12" spans="1:2" x14ac:dyDescent="0.2">
      <c r="A12" s="171" t="s">
        <v>186</v>
      </c>
      <c r="B12" s="167">
        <v>1</v>
      </c>
    </row>
    <row r="13" spans="1:2" x14ac:dyDescent="0.2">
      <c r="A13" s="171" t="s">
        <v>187</v>
      </c>
      <c r="B13" s="167">
        <v>1</v>
      </c>
    </row>
    <row r="14" spans="1:2" x14ac:dyDescent="0.2">
      <c r="A14" s="166" t="s">
        <v>188</v>
      </c>
      <c r="B14" s="170">
        <f>B15+B16</f>
        <v>2</v>
      </c>
    </row>
    <row r="15" spans="1:2" x14ac:dyDescent="0.2">
      <c r="A15" s="172" t="s">
        <v>190</v>
      </c>
      <c r="B15" s="167">
        <v>1</v>
      </c>
    </row>
    <row r="16" spans="1:2" x14ac:dyDescent="0.2">
      <c r="A16" s="172" t="s">
        <v>192</v>
      </c>
      <c r="B16" s="167">
        <v>1</v>
      </c>
    </row>
    <row r="17" spans="1:2" x14ac:dyDescent="0.2">
      <c r="A17" s="166" t="s">
        <v>189</v>
      </c>
      <c r="B17" s="170">
        <f>B2+B14</f>
        <v>13</v>
      </c>
    </row>
    <row r="18" spans="1:2" x14ac:dyDescent="0.2">
      <c r="A18" s="172" t="s">
        <v>196</v>
      </c>
      <c r="B18" s="173">
        <v>1</v>
      </c>
    </row>
    <row r="19" spans="1:2" x14ac:dyDescent="0.2">
      <c r="A19" s="174" t="s">
        <v>210</v>
      </c>
      <c r="B19" s="175">
        <f>B17-B18</f>
        <v>12</v>
      </c>
    </row>
  </sheetData>
  <pageMargins left="0.78740157480314965" right="0" top="0.39370078740157483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Normal="100" workbookViewId="0">
      <selection sqref="A1:C1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72" customWidth="1"/>
    <col min="5" max="10" width="9.140625" style="1"/>
    <col min="11" max="11" width="11" style="1" bestFit="1" customWidth="1"/>
    <col min="12" max="16384" width="9.140625" style="1"/>
  </cols>
  <sheetData>
    <row r="1" spans="1:12" ht="18" x14ac:dyDescent="0.2">
      <c r="A1" s="393" t="s">
        <v>160</v>
      </c>
      <c r="B1" s="394"/>
      <c r="C1" s="395"/>
      <c r="D1" s="66"/>
      <c r="E1" s="66"/>
      <c r="F1" s="66"/>
    </row>
    <row r="2" spans="1:12" ht="14.25" x14ac:dyDescent="0.2">
      <c r="A2" s="77" t="s">
        <v>90</v>
      </c>
      <c r="B2" s="78" t="s">
        <v>91</v>
      </c>
      <c r="C2" s="79" t="s">
        <v>92</v>
      </c>
      <c r="D2" s="80"/>
    </row>
    <row r="3" spans="1:12" ht="14.25" x14ac:dyDescent="0.2">
      <c r="A3" s="77" t="s">
        <v>93</v>
      </c>
      <c r="B3" s="78" t="s">
        <v>31</v>
      </c>
      <c r="C3" s="267">
        <v>0.2</v>
      </c>
      <c r="D3" s="80"/>
      <c r="F3" s="72"/>
      <c r="G3" s="72"/>
      <c r="H3" s="72"/>
      <c r="I3" s="72"/>
      <c r="J3" s="72"/>
      <c r="K3" s="72"/>
      <c r="L3" s="72"/>
    </row>
    <row r="4" spans="1:12" ht="14.25" x14ac:dyDescent="0.2">
      <c r="A4" s="77" t="s">
        <v>94</v>
      </c>
      <c r="B4" s="78" t="s">
        <v>95</v>
      </c>
      <c r="C4" s="267">
        <v>1.4999999999999999E-2</v>
      </c>
      <c r="D4" s="80"/>
      <c r="F4" s="72"/>
      <c r="G4" s="72"/>
      <c r="H4" s="72"/>
      <c r="I4" s="72"/>
      <c r="J4" s="72"/>
      <c r="K4" s="72"/>
      <c r="L4" s="72"/>
    </row>
    <row r="5" spans="1:12" ht="14.25" x14ac:dyDescent="0.2">
      <c r="A5" s="77" t="s">
        <v>96</v>
      </c>
      <c r="B5" s="78" t="s">
        <v>97</v>
      </c>
      <c r="C5" s="267">
        <v>0.01</v>
      </c>
      <c r="D5" s="80"/>
      <c r="F5" s="72"/>
      <c r="G5" s="72"/>
      <c r="H5" s="72"/>
      <c r="I5" s="72"/>
      <c r="J5" s="72"/>
      <c r="K5" s="72"/>
      <c r="L5" s="72"/>
    </row>
    <row r="6" spans="1:12" ht="14.25" x14ac:dyDescent="0.2">
      <c r="A6" s="77" t="s">
        <v>98</v>
      </c>
      <c r="B6" s="78" t="s">
        <v>99</v>
      </c>
      <c r="C6" s="267">
        <v>2E-3</v>
      </c>
      <c r="D6" s="80"/>
      <c r="F6" s="72"/>
      <c r="G6" s="72"/>
      <c r="H6" s="72"/>
      <c r="I6" s="72"/>
      <c r="J6" s="72"/>
      <c r="K6" s="72"/>
      <c r="L6" s="72"/>
    </row>
    <row r="7" spans="1:12" ht="14.25" x14ac:dyDescent="0.2">
      <c r="A7" s="77" t="s">
        <v>100</v>
      </c>
      <c r="B7" s="78" t="s">
        <v>101</v>
      </c>
      <c r="C7" s="267">
        <v>6.0000000000000001E-3</v>
      </c>
      <c r="D7" s="80"/>
      <c r="F7" s="72"/>
      <c r="G7" s="72"/>
      <c r="H7" s="72"/>
      <c r="I7" s="72"/>
      <c r="J7" s="72"/>
      <c r="K7" s="72"/>
      <c r="L7" s="72"/>
    </row>
    <row r="8" spans="1:12" ht="14.25" x14ac:dyDescent="0.2">
      <c r="A8" s="77" t="s">
        <v>102</v>
      </c>
      <c r="B8" s="78" t="s">
        <v>103</v>
      </c>
      <c r="C8" s="267">
        <v>2.5000000000000001E-2</v>
      </c>
      <c r="D8" s="80"/>
      <c r="F8" s="72"/>
      <c r="G8" s="72"/>
      <c r="H8" s="72"/>
      <c r="I8" s="72"/>
      <c r="J8" s="72"/>
      <c r="K8" s="72"/>
      <c r="L8" s="72"/>
    </row>
    <row r="9" spans="1:12" ht="14.25" x14ac:dyDescent="0.2">
      <c r="A9" s="77" t="s">
        <v>104</v>
      </c>
      <c r="B9" s="78" t="s">
        <v>105</v>
      </c>
      <c r="C9" s="267">
        <v>0.03</v>
      </c>
      <c r="D9" s="80"/>
      <c r="F9" s="72"/>
      <c r="G9" s="72"/>
      <c r="H9" s="72"/>
      <c r="I9" s="72"/>
      <c r="J9" s="72"/>
      <c r="K9" s="72"/>
      <c r="L9" s="72"/>
    </row>
    <row r="10" spans="1:12" ht="14.25" x14ac:dyDescent="0.2">
      <c r="A10" s="77" t="s">
        <v>106</v>
      </c>
      <c r="B10" s="78" t="s">
        <v>32</v>
      </c>
      <c r="C10" s="267">
        <v>0.08</v>
      </c>
      <c r="D10" s="82"/>
      <c r="F10" s="72"/>
      <c r="G10" s="72"/>
      <c r="H10" s="72"/>
      <c r="I10" s="72"/>
      <c r="J10" s="72"/>
      <c r="K10" s="72"/>
      <c r="L10" s="72"/>
    </row>
    <row r="11" spans="1:12" ht="15" x14ac:dyDescent="0.2">
      <c r="A11" s="77" t="s">
        <v>107</v>
      </c>
      <c r="B11" s="83" t="s">
        <v>108</v>
      </c>
      <c r="C11" s="84">
        <f>SUM(C3:C10)</f>
        <v>0.36800000000000005</v>
      </c>
      <c r="D11" s="82"/>
      <c r="F11" s="72"/>
      <c r="G11" s="72"/>
      <c r="H11" s="72"/>
      <c r="I11" s="72"/>
      <c r="J11" s="72"/>
      <c r="K11" s="72"/>
      <c r="L11" s="72"/>
    </row>
    <row r="12" spans="1:12" ht="15" x14ac:dyDescent="0.2">
      <c r="A12" s="85"/>
      <c r="B12" s="86"/>
      <c r="C12" s="87"/>
      <c r="D12" s="82"/>
      <c r="F12" s="72"/>
      <c r="G12" s="72"/>
      <c r="H12" s="72"/>
      <c r="I12" s="72"/>
      <c r="J12" s="72"/>
      <c r="K12" s="72"/>
      <c r="L12" s="72"/>
    </row>
    <row r="13" spans="1:12" ht="14.25" x14ac:dyDescent="0.2">
      <c r="A13" s="77" t="s">
        <v>109</v>
      </c>
      <c r="B13" s="88" t="s">
        <v>110</v>
      </c>
      <c r="C13" s="267">
        <v>6.5699999999999995E-2</v>
      </c>
      <c r="D13" s="82"/>
      <c r="F13" s="72"/>
      <c r="G13" s="72"/>
      <c r="H13" s="72"/>
      <c r="I13" s="72"/>
      <c r="J13" s="72"/>
      <c r="K13" s="72"/>
      <c r="L13" s="72"/>
    </row>
    <row r="14" spans="1:12" ht="14.25" x14ac:dyDescent="0.2">
      <c r="A14" s="77" t="s">
        <v>111</v>
      </c>
      <c r="B14" s="88" t="s">
        <v>112</v>
      </c>
      <c r="C14" s="267">
        <v>8.3299999999999999E-2</v>
      </c>
      <c r="D14" s="82"/>
      <c r="F14" s="72"/>
      <c r="G14" s="72"/>
      <c r="H14" s="72"/>
      <c r="I14" s="72"/>
      <c r="J14" s="72"/>
      <c r="K14" s="72"/>
      <c r="L14" s="72"/>
    </row>
    <row r="15" spans="1:12" ht="14.25" x14ac:dyDescent="0.2">
      <c r="A15" s="77" t="s">
        <v>155</v>
      </c>
      <c r="B15" s="88" t="s">
        <v>114</v>
      </c>
      <c r="C15" s="267">
        <v>5.9999999999999995E-4</v>
      </c>
      <c r="D15" s="82"/>
      <c r="F15" s="72"/>
      <c r="G15" s="72"/>
      <c r="H15" s="72"/>
      <c r="I15" s="72"/>
      <c r="J15" s="72"/>
      <c r="K15" s="72"/>
      <c r="L15" s="72"/>
    </row>
    <row r="16" spans="1:12" ht="14.25" x14ac:dyDescent="0.2">
      <c r="A16" s="77" t="s">
        <v>113</v>
      </c>
      <c r="B16" s="88" t="s">
        <v>116</v>
      </c>
      <c r="C16" s="267">
        <v>8.2000000000000007E-3</v>
      </c>
      <c r="D16" s="82"/>
      <c r="F16" s="72"/>
      <c r="G16" s="72"/>
      <c r="H16" s="72"/>
      <c r="I16" s="72"/>
      <c r="J16" s="72"/>
      <c r="K16" s="72"/>
      <c r="L16" s="72"/>
    </row>
    <row r="17" spans="1:12" ht="14.25" x14ac:dyDescent="0.2">
      <c r="A17" s="77" t="s">
        <v>115</v>
      </c>
      <c r="B17" s="88" t="s">
        <v>118</v>
      </c>
      <c r="C17" s="267">
        <v>3.0999999999999999E-3</v>
      </c>
      <c r="D17" s="82"/>
      <c r="F17" s="72"/>
      <c r="G17" s="72"/>
      <c r="H17" s="72"/>
      <c r="I17" s="72"/>
      <c r="J17" s="72"/>
      <c r="K17" s="72"/>
      <c r="L17" s="72"/>
    </row>
    <row r="18" spans="1:12" ht="14.25" x14ac:dyDescent="0.2">
      <c r="A18" s="77" t="s">
        <v>117</v>
      </c>
      <c r="B18" s="88" t="s">
        <v>119</v>
      </c>
      <c r="C18" s="267">
        <v>1.66E-2</v>
      </c>
      <c r="D18" s="82"/>
      <c r="F18" s="72"/>
      <c r="G18" s="72"/>
      <c r="H18" s="72"/>
      <c r="I18" s="72"/>
      <c r="J18" s="72"/>
      <c r="K18" s="72"/>
      <c r="L18" s="72"/>
    </row>
    <row r="19" spans="1:12" ht="15" x14ac:dyDescent="0.2">
      <c r="A19" s="77" t="s">
        <v>120</v>
      </c>
      <c r="B19" s="83" t="s">
        <v>121</v>
      </c>
      <c r="C19" s="84">
        <f>SUM(C13:C18)</f>
        <v>0.17749999999999999</v>
      </c>
      <c r="D19" s="89"/>
      <c r="F19" s="72"/>
      <c r="G19" s="72"/>
      <c r="H19" s="72"/>
      <c r="I19" s="72"/>
      <c r="J19" s="72"/>
      <c r="K19" s="72"/>
      <c r="L19" s="72"/>
    </row>
    <row r="20" spans="1:12" ht="15" x14ac:dyDescent="0.2">
      <c r="A20" s="85"/>
      <c r="B20" s="86"/>
      <c r="C20" s="87"/>
      <c r="D20" s="89"/>
      <c r="F20" s="72"/>
      <c r="G20" s="72"/>
      <c r="H20" s="72"/>
      <c r="I20" s="72"/>
      <c r="J20" s="72"/>
      <c r="K20" s="72"/>
      <c r="L20" s="72"/>
    </row>
    <row r="21" spans="1:12" ht="14.25" x14ac:dyDescent="0.2">
      <c r="A21" s="77" t="s">
        <v>122</v>
      </c>
      <c r="B21" s="78" t="s">
        <v>123</v>
      </c>
      <c r="C21" s="267">
        <v>2.9000000000000001E-2</v>
      </c>
      <c r="D21" s="82"/>
      <c r="E21" s="90"/>
      <c r="F21" s="72"/>
      <c r="G21" s="72"/>
      <c r="H21" s="72"/>
      <c r="I21" s="72"/>
      <c r="J21" s="72"/>
      <c r="K21" s="72"/>
      <c r="L21" s="72"/>
    </row>
    <row r="22" spans="1:12" ht="14.25" x14ac:dyDescent="0.2">
      <c r="A22" s="77" t="s">
        <v>154</v>
      </c>
      <c r="B22" s="78" t="s">
        <v>125</v>
      </c>
      <c r="C22" s="267">
        <v>4.5400000000000003E-2</v>
      </c>
      <c r="D22" s="82"/>
      <c r="F22" s="72"/>
      <c r="G22" s="72"/>
      <c r="H22" s="91"/>
      <c r="I22" s="72"/>
      <c r="J22" s="72"/>
      <c r="K22" s="72"/>
      <c r="L22" s="72"/>
    </row>
    <row r="23" spans="1:12" ht="14.25" x14ac:dyDescent="0.2">
      <c r="A23" s="77" t="s">
        <v>124</v>
      </c>
      <c r="B23" s="78" t="s">
        <v>127</v>
      </c>
      <c r="C23" s="81">
        <f>C21*C22</f>
        <v>1.3166000000000002E-3</v>
      </c>
      <c r="D23" s="82"/>
      <c r="E23" s="90"/>
      <c r="F23" s="72"/>
      <c r="G23" s="72"/>
      <c r="H23" s="72"/>
      <c r="I23" s="72"/>
      <c r="J23" s="72"/>
      <c r="K23" s="72"/>
      <c r="L23" s="72"/>
    </row>
    <row r="24" spans="1:12" ht="14.25" x14ac:dyDescent="0.2">
      <c r="A24" s="77" t="s">
        <v>126</v>
      </c>
      <c r="B24" s="78" t="s">
        <v>129</v>
      </c>
      <c r="C24" s="267">
        <v>3.15E-2</v>
      </c>
      <c r="D24" s="82"/>
      <c r="F24" s="72"/>
      <c r="G24" s="92"/>
      <c r="H24" s="72"/>
      <c r="I24" s="72"/>
      <c r="J24" s="72"/>
      <c r="K24" s="72"/>
      <c r="L24" s="72"/>
    </row>
    <row r="25" spans="1:12" ht="14.25" x14ac:dyDescent="0.2">
      <c r="A25" s="77" t="s">
        <v>128</v>
      </c>
      <c r="B25" s="78" t="s">
        <v>130</v>
      </c>
      <c r="C25" s="267">
        <v>2E-3</v>
      </c>
      <c r="D25" s="82"/>
      <c r="F25" s="72"/>
      <c r="G25" s="72"/>
      <c r="H25" s="72"/>
      <c r="I25" s="72"/>
      <c r="J25" s="72"/>
      <c r="K25" s="72"/>
      <c r="L25" s="72"/>
    </row>
    <row r="26" spans="1:12" ht="15" x14ac:dyDescent="0.2">
      <c r="A26" s="77" t="s">
        <v>131</v>
      </c>
      <c r="B26" s="83" t="s">
        <v>132</v>
      </c>
      <c r="C26" s="84">
        <f>SUM(C21:C25)</f>
        <v>0.10921660000000001</v>
      </c>
      <c r="D26" s="89"/>
      <c r="F26" s="72"/>
      <c r="G26" s="72"/>
      <c r="H26" s="72"/>
      <c r="I26" s="72"/>
      <c r="J26" s="72"/>
      <c r="K26" s="72"/>
      <c r="L26" s="72"/>
    </row>
    <row r="27" spans="1:12" ht="15" x14ac:dyDescent="0.2">
      <c r="A27" s="85"/>
      <c r="B27" s="86"/>
      <c r="C27" s="87"/>
      <c r="D27" s="89"/>
      <c r="F27" s="72"/>
      <c r="G27" s="72"/>
      <c r="H27" s="72"/>
      <c r="I27" s="72"/>
      <c r="J27" s="72"/>
      <c r="K27" s="72"/>
      <c r="L27" s="72"/>
    </row>
    <row r="28" spans="1:12" ht="14.25" x14ac:dyDescent="0.2">
      <c r="A28" s="77" t="s">
        <v>133</v>
      </c>
      <c r="B28" s="78" t="s">
        <v>134</v>
      </c>
      <c r="C28" s="81">
        <f>ROUND(C11*C19,4)</f>
        <v>6.5299999999999997E-2</v>
      </c>
      <c r="D28" s="82"/>
      <c r="F28" s="72"/>
      <c r="G28" s="72"/>
      <c r="H28" s="72"/>
      <c r="I28" s="72"/>
      <c r="J28" s="72"/>
      <c r="K28" s="72"/>
      <c r="L28" s="72"/>
    </row>
    <row r="29" spans="1:12" ht="28.5" x14ac:dyDescent="0.2">
      <c r="A29" s="77" t="s">
        <v>135</v>
      </c>
      <c r="B29" s="93" t="s">
        <v>178</v>
      </c>
      <c r="C29" s="81">
        <f>ROUND((C21*C10),4)</f>
        <v>2.3E-3</v>
      </c>
      <c r="D29" s="82"/>
      <c r="F29" s="72"/>
      <c r="G29" s="72"/>
      <c r="H29" s="72"/>
      <c r="I29" s="72"/>
      <c r="J29" s="72"/>
      <c r="K29" s="72"/>
      <c r="L29" s="72"/>
    </row>
    <row r="30" spans="1:12" ht="15" x14ac:dyDescent="0.2">
      <c r="A30" s="77" t="s">
        <v>136</v>
      </c>
      <c r="B30" s="83" t="s">
        <v>137</v>
      </c>
      <c r="C30" s="84">
        <f>SUM(C28:C29)</f>
        <v>6.7599999999999993E-2</v>
      </c>
      <c r="D30" s="94"/>
      <c r="F30" s="72"/>
      <c r="G30" s="72"/>
      <c r="H30" s="72"/>
      <c r="I30" s="72"/>
      <c r="J30" s="72"/>
      <c r="K30" s="72"/>
      <c r="L30" s="72"/>
    </row>
    <row r="31" spans="1:12" ht="15.75" thickBot="1" x14ac:dyDescent="0.25">
      <c r="A31" s="95"/>
      <c r="B31" s="96" t="s">
        <v>138</v>
      </c>
      <c r="C31" s="97">
        <f>C30+C26+C19+C11</f>
        <v>0.72231660000000009</v>
      </c>
      <c r="D31" s="94"/>
      <c r="F31" s="72"/>
      <c r="G31" s="72"/>
      <c r="H31" s="72"/>
      <c r="I31" s="72"/>
      <c r="J31" s="72"/>
      <c r="K31" s="72"/>
      <c r="L31" s="72"/>
    </row>
    <row r="32" spans="1:12" ht="15" x14ac:dyDescent="0.2">
      <c r="A32" s="82"/>
      <c r="B32" s="98"/>
      <c r="C32" s="99"/>
      <c r="D32" s="100"/>
      <c r="F32" s="72"/>
      <c r="G32" s="72"/>
      <c r="H32" s="72"/>
      <c r="I32" s="72"/>
      <c r="J32" s="72"/>
      <c r="K32" s="72"/>
      <c r="L32" s="72"/>
    </row>
    <row r="33" spans="1:12" ht="14.25" x14ac:dyDescent="0.2">
      <c r="A33" s="82"/>
      <c r="B33" s="82"/>
      <c r="C33" s="101"/>
      <c r="D33" s="102"/>
      <c r="F33" s="72"/>
      <c r="G33" s="72"/>
      <c r="H33" s="72"/>
      <c r="I33" s="72"/>
      <c r="J33" s="72"/>
      <c r="K33" s="72"/>
      <c r="L33" s="72"/>
    </row>
    <row r="34" spans="1:12" ht="14.25" x14ac:dyDescent="0.2">
      <c r="A34" s="80"/>
      <c r="B34" s="80"/>
      <c r="C34" s="103"/>
      <c r="D34" s="80"/>
      <c r="F34" s="72"/>
      <c r="G34" s="72"/>
      <c r="H34" s="72"/>
      <c r="I34" s="72"/>
      <c r="J34" s="72"/>
      <c r="K34" s="72"/>
      <c r="L34" s="72"/>
    </row>
    <row r="35" spans="1:12" ht="14.25" x14ac:dyDescent="0.2">
      <c r="A35" s="80"/>
      <c r="B35" s="80"/>
      <c r="C35" s="103"/>
      <c r="D35" s="80"/>
      <c r="F35" s="72"/>
      <c r="G35" s="72"/>
      <c r="H35" s="72"/>
      <c r="I35" s="72"/>
      <c r="J35" s="72"/>
      <c r="K35" s="72"/>
      <c r="L35" s="72"/>
    </row>
    <row r="36" spans="1:12" ht="14.25" x14ac:dyDescent="0.2">
      <c r="A36" s="80"/>
      <c r="B36" s="80"/>
      <c r="C36" s="103"/>
      <c r="D36" s="80"/>
      <c r="F36" s="72"/>
      <c r="G36" s="72"/>
      <c r="H36" s="72"/>
      <c r="I36" s="72"/>
      <c r="J36" s="72"/>
      <c r="K36" s="72"/>
      <c r="L36" s="72"/>
    </row>
    <row r="37" spans="1:12" ht="15" x14ac:dyDescent="0.2">
      <c r="A37" s="80"/>
      <c r="B37" s="104"/>
      <c r="C37" s="105"/>
      <c r="D37" s="80"/>
      <c r="F37" s="72"/>
      <c r="G37" s="72"/>
      <c r="H37" s="72"/>
      <c r="I37" s="72"/>
      <c r="J37" s="72"/>
      <c r="K37" s="72"/>
      <c r="L37" s="72"/>
    </row>
    <row r="38" spans="1:12" ht="15" x14ac:dyDescent="0.2">
      <c r="A38" s="94"/>
      <c r="B38" s="104"/>
      <c r="C38" s="105"/>
      <c r="D38" s="94"/>
      <c r="E38" s="72"/>
      <c r="F38" s="72"/>
      <c r="G38" s="72"/>
      <c r="H38" s="72"/>
      <c r="I38" s="72"/>
      <c r="J38" s="72"/>
      <c r="K38" s="72"/>
      <c r="L38" s="72"/>
    </row>
    <row r="39" spans="1:12" ht="16.5" x14ac:dyDescent="0.2">
      <c r="A39" s="106"/>
      <c r="B39" s="72"/>
      <c r="C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2">
      <c r="A40" s="107"/>
      <c r="B40" s="108"/>
      <c r="C40" s="108"/>
      <c r="E40" s="72"/>
      <c r="F40" s="72"/>
      <c r="G40" s="72"/>
      <c r="H40" s="72"/>
      <c r="I40" s="72"/>
      <c r="J40" s="72"/>
      <c r="K40" s="72"/>
      <c r="L40" s="72"/>
    </row>
    <row r="41" spans="1:12" ht="14.25" x14ac:dyDescent="0.2">
      <c r="A41" s="80"/>
      <c r="B41" s="109"/>
      <c r="C41" s="108"/>
      <c r="E41" s="72"/>
      <c r="F41" s="72"/>
      <c r="G41" s="72"/>
      <c r="H41" s="72"/>
      <c r="I41" s="72"/>
      <c r="J41" s="72"/>
      <c r="K41" s="72"/>
      <c r="L41" s="72"/>
    </row>
    <row r="42" spans="1:12" ht="14.25" x14ac:dyDescent="0.2">
      <c r="A42" s="80"/>
      <c r="B42" s="109"/>
      <c r="C42" s="80"/>
      <c r="E42" s="72"/>
      <c r="F42" s="72"/>
      <c r="G42" s="72"/>
      <c r="H42" s="72"/>
      <c r="I42" s="72"/>
      <c r="J42" s="72"/>
      <c r="K42" s="72"/>
      <c r="L42" s="72"/>
    </row>
    <row r="43" spans="1:12" ht="14.25" x14ac:dyDescent="0.2">
      <c r="A43" s="80"/>
      <c r="B43" s="103"/>
      <c r="C43" s="108"/>
      <c r="E43" s="72"/>
      <c r="F43" s="72"/>
      <c r="G43" s="72"/>
      <c r="H43" s="72"/>
      <c r="I43" s="72"/>
      <c r="J43" s="72"/>
      <c r="K43" s="72"/>
      <c r="L43" s="72"/>
    </row>
    <row r="44" spans="1:12" ht="14.25" x14ac:dyDescent="0.2">
      <c r="A44" s="80"/>
      <c r="B44" s="109"/>
      <c r="C44" s="80"/>
      <c r="E44" s="72"/>
      <c r="F44" s="72"/>
      <c r="G44" s="72"/>
      <c r="H44" s="72"/>
      <c r="I44" s="72"/>
      <c r="J44" s="72"/>
      <c r="K44" s="72"/>
      <c r="L44" s="72"/>
    </row>
    <row r="45" spans="1:12" ht="14.25" x14ac:dyDescent="0.2">
      <c r="A45" s="80"/>
      <c r="B45" s="103"/>
      <c r="C45" s="108"/>
      <c r="E45" s="72"/>
      <c r="F45" s="72"/>
      <c r="G45" s="72"/>
      <c r="H45" s="72"/>
      <c r="I45" s="72"/>
      <c r="J45" s="72"/>
      <c r="K45" s="72"/>
      <c r="L45" s="72"/>
    </row>
    <row r="46" spans="1:12" ht="14.25" x14ac:dyDescent="0.2">
      <c r="A46" s="80"/>
      <c r="B46" s="109"/>
      <c r="C46" s="80"/>
      <c r="E46" s="72"/>
      <c r="F46" s="72"/>
      <c r="G46" s="72"/>
      <c r="H46" s="72"/>
      <c r="I46" s="72"/>
      <c r="J46" s="72"/>
      <c r="K46" s="72"/>
      <c r="L46" s="72"/>
    </row>
    <row r="47" spans="1:12" ht="14.25" x14ac:dyDescent="0.2">
      <c r="A47" s="80"/>
      <c r="B47" s="103"/>
      <c r="C47" s="108"/>
      <c r="E47" s="72"/>
      <c r="F47" s="72"/>
      <c r="G47" s="72"/>
      <c r="H47" s="72"/>
      <c r="I47" s="72"/>
      <c r="J47" s="72"/>
      <c r="K47" s="72"/>
      <c r="L47" s="72"/>
    </row>
    <row r="48" spans="1:12" ht="14.25" x14ac:dyDescent="0.2">
      <c r="A48" s="80"/>
      <c r="B48" s="109"/>
      <c r="C48" s="80"/>
      <c r="E48" s="72"/>
      <c r="F48" s="72"/>
      <c r="G48" s="72"/>
      <c r="H48" s="72"/>
      <c r="I48" s="72"/>
      <c r="J48" s="72"/>
      <c r="K48" s="72"/>
      <c r="L48" s="72"/>
    </row>
    <row r="49" spans="1:12" ht="14.25" x14ac:dyDescent="0.2">
      <c r="A49" s="80"/>
      <c r="B49" s="103"/>
      <c r="C49" s="108"/>
      <c r="E49" s="72"/>
      <c r="F49" s="72"/>
      <c r="G49" s="72"/>
      <c r="H49" s="72"/>
      <c r="I49" s="72"/>
      <c r="J49" s="72"/>
      <c r="K49" s="72"/>
      <c r="L49" s="72"/>
    </row>
    <row r="50" spans="1:12" ht="16.5" x14ac:dyDescent="0.2">
      <c r="A50" s="106"/>
      <c r="B50" s="72"/>
      <c r="C50" s="72"/>
      <c r="E50" s="72"/>
      <c r="F50" s="72"/>
      <c r="G50" s="72"/>
      <c r="H50" s="72"/>
      <c r="I50" s="72"/>
      <c r="J50" s="72"/>
      <c r="K50" s="72"/>
      <c r="L50" s="72"/>
    </row>
    <row r="51" spans="1:12" x14ac:dyDescent="0.2">
      <c r="A51" s="72"/>
      <c r="B51" s="72"/>
      <c r="C51" s="72"/>
      <c r="E51" s="72"/>
      <c r="F51" s="72"/>
      <c r="G51" s="72"/>
      <c r="H51" s="72"/>
      <c r="I51" s="72"/>
      <c r="J51" s="72"/>
      <c r="K51" s="72"/>
      <c r="L51" s="72"/>
    </row>
    <row r="52" spans="1:12" x14ac:dyDescent="0.2">
      <c r="A52" s="72"/>
      <c r="B52" s="72"/>
      <c r="C52" s="72"/>
      <c r="E52" s="72"/>
      <c r="F52" s="72"/>
      <c r="G52" s="72"/>
      <c r="H52" s="72"/>
      <c r="I52" s="72"/>
      <c r="J52" s="72"/>
      <c r="K52" s="72"/>
      <c r="L52" s="72"/>
    </row>
    <row r="53" spans="1:12" x14ac:dyDescent="0.2">
      <c r="A53" s="110"/>
      <c r="B53" s="72"/>
      <c r="C53" s="72"/>
      <c r="E53" s="72"/>
      <c r="F53" s="72"/>
      <c r="G53" s="72"/>
      <c r="H53" s="72"/>
      <c r="I53" s="72"/>
      <c r="J53" s="72"/>
      <c r="K53" s="72"/>
      <c r="L53" s="72"/>
    </row>
    <row r="54" spans="1:12" x14ac:dyDescent="0.2">
      <c r="A54" s="72"/>
      <c r="B54" s="72"/>
      <c r="C54" s="72"/>
      <c r="E54" s="72"/>
    </row>
    <row r="55" spans="1:12" x14ac:dyDescent="0.2">
      <c r="A55" s="72"/>
      <c r="B55" s="72"/>
      <c r="C55" s="72"/>
      <c r="E55" s="72"/>
    </row>
    <row r="56" spans="1:12" x14ac:dyDescent="0.2">
      <c r="A56" s="72"/>
      <c r="B56" s="72"/>
      <c r="C56" s="72"/>
      <c r="E56" s="72"/>
    </row>
    <row r="57" spans="1:12" x14ac:dyDescent="0.2">
      <c r="A57" s="72"/>
      <c r="B57" s="72"/>
      <c r="C57" s="72"/>
      <c r="E57" s="72"/>
    </row>
    <row r="58" spans="1:12" x14ac:dyDescent="0.2">
      <c r="A58" s="72"/>
      <c r="B58" s="72"/>
      <c r="C58" s="72"/>
      <c r="E58" s="72"/>
    </row>
    <row r="59" spans="1:12" x14ac:dyDescent="0.2">
      <c r="A59" s="72"/>
      <c r="B59" s="72"/>
      <c r="C59" s="72"/>
      <c r="E59" s="72"/>
    </row>
    <row r="60" spans="1:12" x14ac:dyDescent="0.2">
      <c r="A60" s="72"/>
      <c r="B60" s="72"/>
      <c r="C60" s="72"/>
      <c r="E60" s="72"/>
    </row>
    <row r="61" spans="1:12" x14ac:dyDescent="0.2">
      <c r="A61" s="72"/>
      <c r="B61" s="72"/>
      <c r="C61" s="72"/>
      <c r="E61" s="72"/>
    </row>
    <row r="62" spans="1:12" x14ac:dyDescent="0.2">
      <c r="A62" s="72"/>
      <c r="B62" s="72"/>
      <c r="C62" s="72"/>
      <c r="E62" s="72"/>
    </row>
  </sheetData>
  <mergeCells count="1">
    <mergeCell ref="A1:C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C10" sqref="C10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56" bestFit="1" customWidth="1"/>
    <col min="6" max="6" width="9.7109375" bestFit="1" customWidth="1"/>
  </cols>
  <sheetData>
    <row r="1" spans="1:8" ht="14.25" x14ac:dyDescent="0.2">
      <c r="A1" s="63"/>
      <c r="B1" s="63"/>
      <c r="C1" s="63"/>
      <c r="D1" s="63"/>
      <c r="E1" s="64"/>
      <c r="F1" s="63"/>
      <c r="G1" s="63"/>
      <c r="H1" s="63"/>
    </row>
    <row r="2" spans="1:8" s="2" customFormat="1" ht="15.6" customHeight="1" thickBot="1" x14ac:dyDescent="0.25">
      <c r="A2" s="164" t="s">
        <v>308</v>
      </c>
      <c r="B2" s="62"/>
      <c r="C2" s="62"/>
      <c r="D2" s="62"/>
      <c r="E2" s="62"/>
      <c r="F2" s="62"/>
      <c r="G2" s="3"/>
    </row>
    <row r="3" spans="1:8" ht="15.75" x14ac:dyDescent="0.2">
      <c r="A3" s="396" t="s">
        <v>243</v>
      </c>
      <c r="B3" s="397"/>
      <c r="C3" s="397"/>
      <c r="D3" s="397"/>
      <c r="E3" s="397"/>
      <c r="F3" s="398"/>
    </row>
    <row r="4" spans="1:8" ht="16.5" thickBot="1" x14ac:dyDescent="0.25">
      <c r="A4" s="150"/>
      <c r="B4" s="151"/>
      <c r="C4" s="151"/>
      <c r="D4" s="112" t="s">
        <v>139</v>
      </c>
      <c r="E4" s="113" t="s">
        <v>140</v>
      </c>
      <c r="F4" s="114" t="s">
        <v>141</v>
      </c>
    </row>
    <row r="5" spans="1:8" ht="14.25" x14ac:dyDescent="0.2">
      <c r="A5" s="115" t="s">
        <v>56</v>
      </c>
      <c r="B5" s="116" t="s">
        <v>57</v>
      </c>
      <c r="C5" s="117">
        <v>5.0799999999999998E-2</v>
      </c>
      <c r="D5" s="137">
        <v>2.9700000000000001E-2</v>
      </c>
      <c r="E5" s="138">
        <v>5.0799999999999998E-2</v>
      </c>
      <c r="F5" s="139">
        <v>6.2700000000000006E-2</v>
      </c>
      <c r="G5" s="63"/>
      <c r="H5" s="63"/>
    </row>
    <row r="6" spans="1:8" ht="14.25" x14ac:dyDescent="0.2">
      <c r="A6" s="119" t="s">
        <v>58</v>
      </c>
      <c r="B6" s="255" t="s">
        <v>59</v>
      </c>
      <c r="C6" s="120">
        <v>1.3299999999999999E-2</v>
      </c>
      <c r="D6" s="137">
        <f>0.3%+0.56%</f>
        <v>8.6E-3</v>
      </c>
      <c r="E6" s="138">
        <f>0.48%+0.85%</f>
        <v>1.3299999999999999E-2</v>
      </c>
      <c r="F6" s="139">
        <f>0.82%+0.89%</f>
        <v>1.7099999999999997E-2</v>
      </c>
      <c r="G6" s="63"/>
      <c r="H6" s="63"/>
    </row>
    <row r="7" spans="1:8" ht="14.25" x14ac:dyDescent="0.2">
      <c r="A7" s="119" t="s">
        <v>60</v>
      </c>
      <c r="B7" s="255" t="s">
        <v>61</v>
      </c>
      <c r="C7" s="120">
        <v>0.1085</v>
      </c>
      <c r="D7" s="137">
        <v>7.7799999999999994E-2</v>
      </c>
      <c r="E7" s="138">
        <v>0.1085</v>
      </c>
      <c r="F7" s="139">
        <v>0.13550000000000001</v>
      </c>
      <c r="G7" s="63"/>
      <c r="H7" s="63"/>
    </row>
    <row r="8" spans="1:8" ht="14.25" x14ac:dyDescent="0.2">
      <c r="A8" s="119" t="s">
        <v>62</v>
      </c>
      <c r="B8" s="255" t="s">
        <v>63</v>
      </c>
      <c r="C8" s="121">
        <v>0</v>
      </c>
      <c r="D8" s="137" t="s">
        <v>176</v>
      </c>
      <c r="E8" s="122">
        <v>9.2499999999999999E-2</v>
      </c>
      <c r="F8" s="118"/>
      <c r="G8" s="63"/>
      <c r="H8" s="63"/>
    </row>
    <row r="9" spans="1:8" ht="14.25" x14ac:dyDescent="0.2">
      <c r="A9" s="119" t="s">
        <v>64</v>
      </c>
      <c r="B9" s="399" t="s">
        <v>65</v>
      </c>
      <c r="C9" s="120">
        <v>0.04</v>
      </c>
      <c r="D9" s="163" t="s">
        <v>142</v>
      </c>
      <c r="E9" s="123">
        <v>30</v>
      </c>
      <c r="F9" s="124"/>
      <c r="G9" s="63"/>
      <c r="H9" s="63"/>
    </row>
    <row r="10" spans="1:8" ht="15" thickBot="1" x14ac:dyDescent="0.25">
      <c r="A10" s="125" t="s">
        <v>66</v>
      </c>
      <c r="B10" s="400"/>
      <c r="C10" s="126">
        <v>3.6499999999999998E-2</v>
      </c>
      <c r="D10" s="111"/>
      <c r="E10" s="127"/>
      <c r="F10" s="124"/>
      <c r="G10" s="63"/>
      <c r="H10" s="63"/>
    </row>
    <row r="11" spans="1:8" ht="14.25" x14ac:dyDescent="0.2">
      <c r="A11" s="128" t="s">
        <v>67</v>
      </c>
      <c r="B11" s="129"/>
      <c r="C11" s="130"/>
      <c r="D11" s="111"/>
      <c r="E11" s="127"/>
      <c r="F11" s="124"/>
      <c r="G11" s="63"/>
      <c r="H11" s="63"/>
    </row>
    <row r="12" spans="1:8" ht="15" thickBot="1" x14ac:dyDescent="0.25">
      <c r="A12" s="131" t="s">
        <v>68</v>
      </c>
      <c r="B12" s="132"/>
      <c r="C12" s="133"/>
      <c r="D12" s="111"/>
      <c r="E12" s="127"/>
      <c r="F12" s="124"/>
      <c r="G12" s="63"/>
      <c r="H12" s="63"/>
    </row>
    <row r="13" spans="1:8" ht="15.75" thickBot="1" x14ac:dyDescent="0.25">
      <c r="A13" s="134" t="s">
        <v>69</v>
      </c>
      <c r="B13" s="135"/>
      <c r="C13" s="136">
        <f>ROUND((((1+C5+C6)*(1+C7)*(1+C8))/(1-(C9+C10))-1),4)</f>
        <v>0.27729999999999999</v>
      </c>
      <c r="D13" s="140">
        <v>0.21429999999999999</v>
      </c>
      <c r="E13" s="141">
        <v>0.2717</v>
      </c>
      <c r="F13" s="142">
        <v>0.3362</v>
      </c>
      <c r="G13" s="63"/>
      <c r="H13" s="63"/>
    </row>
  </sheetData>
  <mergeCells count="2">
    <mergeCell ref="A3:F3"/>
    <mergeCell ref="B9:B10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3" ht="19.5" customHeight="1" thickBot="1" x14ac:dyDescent="0.25">
      <c r="A1" s="401" t="s">
        <v>161</v>
      </c>
      <c r="B1" s="402"/>
    </row>
    <row r="2" spans="1:3" s="53" customFormat="1" ht="19.5" customHeight="1" x14ac:dyDescent="0.2">
      <c r="A2" s="152" t="s">
        <v>148</v>
      </c>
      <c r="B2" s="153" t="s">
        <v>177</v>
      </c>
    </row>
    <row r="3" spans="1:3" ht="19.5" customHeight="1" x14ac:dyDescent="0.2">
      <c r="A3" s="74">
        <v>1</v>
      </c>
      <c r="B3" s="73">
        <v>33.629999999999995</v>
      </c>
    </row>
    <row r="4" spans="1:3" ht="19.5" customHeight="1" x14ac:dyDescent="0.2">
      <c r="A4" s="74">
        <v>2</v>
      </c>
      <c r="B4" s="73">
        <v>43.13</v>
      </c>
    </row>
    <row r="5" spans="1:3" ht="19.5" customHeight="1" x14ac:dyDescent="0.2">
      <c r="A5" s="74">
        <v>3</v>
      </c>
      <c r="B5" s="73">
        <v>48.68</v>
      </c>
    </row>
    <row r="6" spans="1:3" ht="19.5" customHeight="1" x14ac:dyDescent="0.2">
      <c r="A6" s="74">
        <v>4</v>
      </c>
      <c r="B6" s="73">
        <v>52.62</v>
      </c>
    </row>
    <row r="7" spans="1:3" ht="19.5" customHeight="1" x14ac:dyDescent="0.2">
      <c r="A7" s="152">
        <v>5</v>
      </c>
      <c r="B7" s="185">
        <v>55.68</v>
      </c>
    </row>
    <row r="8" spans="1:3" ht="19.5" customHeight="1" x14ac:dyDescent="0.2">
      <c r="A8" s="74">
        <v>6</v>
      </c>
      <c r="B8" s="73">
        <v>58.18</v>
      </c>
    </row>
    <row r="9" spans="1:3" ht="19.5" customHeight="1" x14ac:dyDescent="0.2">
      <c r="A9" s="74">
        <v>7</v>
      </c>
      <c r="B9" s="73">
        <v>60.29</v>
      </c>
    </row>
    <row r="10" spans="1:3" ht="19.5" customHeight="1" x14ac:dyDescent="0.2">
      <c r="A10" s="74">
        <v>8</v>
      </c>
      <c r="B10" s="73">
        <v>62.12</v>
      </c>
    </row>
    <row r="11" spans="1:3" ht="19.5" customHeight="1" x14ac:dyDescent="0.2">
      <c r="A11" s="74">
        <v>9</v>
      </c>
      <c r="B11" s="73">
        <v>63.73</v>
      </c>
    </row>
    <row r="12" spans="1:3" ht="19.5" customHeight="1" x14ac:dyDescent="0.2">
      <c r="A12" s="152">
        <v>10</v>
      </c>
      <c r="B12" s="185">
        <v>65.180000000000007</v>
      </c>
      <c r="C12" s="159"/>
    </row>
    <row r="13" spans="1:3" ht="19.5" customHeight="1" x14ac:dyDescent="0.2">
      <c r="A13" s="74">
        <v>11</v>
      </c>
      <c r="B13" s="73">
        <v>66.47999999999999</v>
      </c>
      <c r="C13" s="159"/>
    </row>
    <row r="14" spans="1:3" ht="19.5" customHeight="1" x14ac:dyDescent="0.2">
      <c r="A14" s="74">
        <v>12</v>
      </c>
      <c r="B14" s="73">
        <v>67.67</v>
      </c>
    </row>
    <row r="15" spans="1:3" ht="19.5" customHeight="1" x14ac:dyDescent="0.2">
      <c r="A15" s="74">
        <v>13</v>
      </c>
      <c r="B15" s="73">
        <v>68.77</v>
      </c>
    </row>
    <row r="16" spans="1:3" ht="19.5" customHeight="1" x14ac:dyDescent="0.2">
      <c r="A16" s="74">
        <v>14</v>
      </c>
      <c r="B16" s="73">
        <v>69.789999999999992</v>
      </c>
    </row>
    <row r="17" spans="1:2" ht="19.5" customHeight="1" thickBot="1" x14ac:dyDescent="0.25">
      <c r="A17" s="75">
        <v>15</v>
      </c>
      <c r="B17" s="76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146" t="s">
        <v>165</v>
      </c>
    </row>
    <row r="2" spans="1:1" x14ac:dyDescent="0.2">
      <c r="A2" s="143"/>
    </row>
    <row r="3" spans="1:1" x14ac:dyDescent="0.2">
      <c r="A3" s="143" t="s">
        <v>171</v>
      </c>
    </row>
    <row r="4" spans="1:1" x14ac:dyDescent="0.2">
      <c r="A4" s="143"/>
    </row>
    <row r="5" spans="1:1" x14ac:dyDescent="0.2">
      <c r="A5" s="143"/>
    </row>
    <row r="6" spans="1:1" x14ac:dyDescent="0.2">
      <c r="A6" s="143"/>
    </row>
    <row r="7" spans="1:1" x14ac:dyDescent="0.2">
      <c r="A7" s="143"/>
    </row>
    <row r="8" spans="1:1" x14ac:dyDescent="0.2">
      <c r="A8" s="143"/>
    </row>
    <row r="9" spans="1:1" x14ac:dyDescent="0.2">
      <c r="A9" s="143"/>
    </row>
    <row r="10" spans="1:1" x14ac:dyDescent="0.2">
      <c r="A10" s="143"/>
    </row>
    <row r="11" spans="1:1" x14ac:dyDescent="0.2">
      <c r="A11" s="143"/>
    </row>
    <row r="12" spans="1:1" ht="19.5" x14ac:dyDescent="0.35">
      <c r="A12" s="144" t="s">
        <v>162</v>
      </c>
    </row>
    <row r="13" spans="1:1" ht="15" x14ac:dyDescent="0.2">
      <c r="A13" s="144" t="s">
        <v>79</v>
      </c>
    </row>
    <row r="14" spans="1:1" ht="15" x14ac:dyDescent="0.2">
      <c r="A14" s="144" t="s">
        <v>83</v>
      </c>
    </row>
    <row r="15" spans="1:1" ht="19.5" x14ac:dyDescent="0.35">
      <c r="A15" s="144" t="s">
        <v>163</v>
      </c>
    </row>
    <row r="16" spans="1:1" ht="19.5" x14ac:dyDescent="0.35">
      <c r="A16" s="144" t="s">
        <v>164</v>
      </c>
    </row>
    <row r="17" spans="1:1" ht="15.75" thickBot="1" x14ac:dyDescent="0.25">
      <c r="A17" s="145" t="s">
        <v>80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Coleta</vt:lpstr>
      <vt:lpstr>Lavagem unif.</vt:lpstr>
      <vt:lpstr>Feriados</vt:lpstr>
      <vt:lpstr>2.Encargos Sociais</vt:lpstr>
      <vt:lpstr>4.BDI</vt:lpstr>
      <vt:lpstr>5. Depreciação</vt:lpstr>
      <vt:lpstr>6.Remuneração de capital</vt:lpstr>
      <vt:lpstr>AbaDeprec</vt:lpstr>
      <vt:lpstr>AbaRemun</vt:lpstr>
      <vt:lpstr>'2.Encargos Sociais'!Area_de_impressao</vt:lpstr>
      <vt:lpstr>Coleta!Area_de_impressao</vt:lpstr>
      <vt:lpstr>Coleta!Titulos_de_impressao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 2</dc:creator>
  <cp:lastModifiedBy>Usuário do Windows</cp:lastModifiedBy>
  <cp:lastPrinted>2022-01-26T18:22:42Z</cp:lastPrinted>
  <dcterms:created xsi:type="dcterms:W3CDTF">2000-12-13T10:02:50Z</dcterms:created>
  <dcterms:modified xsi:type="dcterms:W3CDTF">2022-03-16T17:06:23Z</dcterms:modified>
</cp:coreProperties>
</file>